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ark\Dropbox\keris_kesli 컨소시엄관련 자료\2020\KERIS 신규\"/>
    </mc:Choice>
  </mc:AlternateContent>
  <xr:revisionPtr revIDLastSave="0" documentId="8_{270FB3DB-95E1-472D-AFD2-DB766F520B02}" xr6:coauthVersionLast="45" xr6:coauthVersionMax="45" xr10:uidLastSave="{00000000-0000-0000-0000-000000000000}"/>
  <bookViews>
    <workbookView xWindow="-108" yWindow="-108" windowWidth="23256" windowHeight="12576"/>
  </bookViews>
  <sheets>
    <sheet name="Reference Ebook title list" sheetId="1" r:id="rId1"/>
  </sheets>
  <calcPr calcId="0"/>
</workbook>
</file>

<file path=xl/calcChain.xml><?xml version="1.0" encoding="utf-8"?>
<calcChain xmlns="http://schemas.openxmlformats.org/spreadsheetml/2006/main">
  <c r="C2" i="1" l="1"/>
  <c r="D2" i="1"/>
  <c r="C3" i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C575" i="1"/>
  <c r="D575" i="1"/>
  <c r="C576" i="1"/>
  <c r="D576" i="1"/>
  <c r="C577" i="1"/>
  <c r="D577" i="1"/>
  <c r="C578" i="1"/>
  <c r="D578" i="1"/>
  <c r="C579" i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C591" i="1"/>
  <c r="D591" i="1"/>
  <c r="C592" i="1"/>
  <c r="D592" i="1"/>
  <c r="C593" i="1"/>
  <c r="D593" i="1"/>
  <c r="C594" i="1"/>
  <c r="D594" i="1"/>
  <c r="C595" i="1"/>
  <c r="D595" i="1"/>
  <c r="C596" i="1"/>
  <c r="D596" i="1"/>
  <c r="C597" i="1"/>
  <c r="D597" i="1"/>
  <c r="C598" i="1"/>
  <c r="D598" i="1"/>
  <c r="C599" i="1"/>
  <c r="D599" i="1"/>
  <c r="C600" i="1"/>
  <c r="D600" i="1"/>
  <c r="C601" i="1"/>
  <c r="D601" i="1"/>
  <c r="C602" i="1"/>
  <c r="D602" i="1"/>
  <c r="C603" i="1"/>
  <c r="D603" i="1"/>
  <c r="C604" i="1"/>
  <c r="D604" i="1"/>
  <c r="C605" i="1"/>
  <c r="D605" i="1"/>
  <c r="C606" i="1"/>
  <c r="D606" i="1"/>
  <c r="C607" i="1"/>
  <c r="D607" i="1"/>
  <c r="C608" i="1"/>
  <c r="D608" i="1"/>
  <c r="C609" i="1"/>
  <c r="D609" i="1"/>
  <c r="C610" i="1"/>
  <c r="D610" i="1"/>
  <c r="C611" i="1"/>
  <c r="D611" i="1"/>
  <c r="C612" i="1"/>
  <c r="D612" i="1"/>
  <c r="C613" i="1"/>
  <c r="D613" i="1"/>
  <c r="C614" i="1"/>
  <c r="D614" i="1"/>
  <c r="C615" i="1"/>
  <c r="D615" i="1"/>
  <c r="C616" i="1"/>
  <c r="D616" i="1"/>
  <c r="C617" i="1"/>
  <c r="D617" i="1"/>
  <c r="C618" i="1"/>
  <c r="D618" i="1"/>
  <c r="C619" i="1"/>
  <c r="D619" i="1"/>
  <c r="C620" i="1"/>
  <c r="D620" i="1"/>
  <c r="C621" i="1"/>
  <c r="D621" i="1"/>
  <c r="C622" i="1"/>
  <c r="D622" i="1"/>
  <c r="C623" i="1"/>
  <c r="D623" i="1"/>
  <c r="C624" i="1"/>
  <c r="D624" i="1"/>
  <c r="C625" i="1"/>
  <c r="D625" i="1"/>
  <c r="C626" i="1"/>
  <c r="D626" i="1"/>
  <c r="C627" i="1"/>
  <c r="D627" i="1"/>
  <c r="C628" i="1"/>
  <c r="D628" i="1"/>
  <c r="C629" i="1"/>
  <c r="D629" i="1"/>
  <c r="C630" i="1"/>
  <c r="D630" i="1"/>
  <c r="C631" i="1"/>
  <c r="D631" i="1"/>
  <c r="C632" i="1"/>
  <c r="D632" i="1"/>
  <c r="C633" i="1"/>
  <c r="D633" i="1"/>
  <c r="C634" i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C645" i="1"/>
  <c r="D645" i="1"/>
  <c r="C646" i="1"/>
  <c r="D646" i="1"/>
  <c r="C647" i="1"/>
  <c r="D647" i="1"/>
  <c r="C648" i="1"/>
  <c r="D648" i="1"/>
  <c r="C649" i="1"/>
  <c r="D649" i="1"/>
  <c r="C650" i="1"/>
  <c r="D650" i="1"/>
  <c r="C651" i="1"/>
  <c r="D651" i="1"/>
  <c r="C652" i="1"/>
  <c r="D652" i="1"/>
  <c r="C653" i="1"/>
  <c r="D653" i="1"/>
  <c r="C654" i="1"/>
  <c r="D654" i="1"/>
  <c r="C655" i="1"/>
  <c r="D655" i="1"/>
  <c r="C656" i="1"/>
  <c r="D656" i="1"/>
  <c r="C657" i="1"/>
  <c r="D657" i="1"/>
  <c r="C658" i="1"/>
  <c r="D658" i="1"/>
  <c r="C659" i="1"/>
  <c r="D659" i="1"/>
  <c r="C660" i="1"/>
  <c r="D660" i="1"/>
  <c r="C661" i="1"/>
  <c r="D661" i="1"/>
  <c r="C662" i="1"/>
  <c r="D662" i="1"/>
  <c r="C663" i="1"/>
  <c r="D663" i="1"/>
  <c r="C664" i="1"/>
  <c r="D664" i="1"/>
  <c r="C665" i="1"/>
  <c r="D665" i="1"/>
  <c r="C666" i="1"/>
  <c r="D666" i="1"/>
  <c r="C667" i="1"/>
  <c r="D667" i="1"/>
  <c r="C668" i="1"/>
  <c r="D668" i="1"/>
  <c r="C669" i="1"/>
  <c r="D669" i="1"/>
  <c r="C670" i="1"/>
  <c r="D670" i="1"/>
  <c r="C671" i="1"/>
  <c r="D671" i="1"/>
  <c r="C672" i="1"/>
  <c r="D672" i="1"/>
  <c r="C673" i="1"/>
  <c r="D673" i="1"/>
  <c r="C674" i="1"/>
  <c r="D674" i="1"/>
  <c r="C675" i="1"/>
  <c r="D675" i="1"/>
  <c r="C676" i="1"/>
  <c r="D676" i="1"/>
  <c r="C677" i="1"/>
  <c r="D677" i="1"/>
  <c r="C678" i="1"/>
  <c r="D678" i="1"/>
  <c r="C679" i="1"/>
  <c r="D679" i="1"/>
  <c r="C680" i="1"/>
  <c r="D680" i="1"/>
  <c r="C681" i="1"/>
  <c r="D681" i="1"/>
  <c r="C682" i="1"/>
  <c r="D682" i="1"/>
  <c r="C683" i="1"/>
  <c r="D683" i="1"/>
  <c r="C684" i="1"/>
  <c r="D684" i="1"/>
  <c r="C685" i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C696" i="1"/>
  <c r="D696" i="1"/>
  <c r="C697" i="1"/>
  <c r="D697" i="1"/>
  <c r="C698" i="1"/>
  <c r="D698" i="1"/>
  <c r="C699" i="1"/>
  <c r="D699" i="1"/>
  <c r="C700" i="1"/>
  <c r="D700" i="1"/>
  <c r="C701" i="1"/>
  <c r="D701" i="1"/>
  <c r="C702" i="1"/>
  <c r="D702" i="1"/>
  <c r="C703" i="1"/>
  <c r="D703" i="1"/>
  <c r="C704" i="1"/>
  <c r="D704" i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D711" i="1"/>
  <c r="C712" i="1"/>
  <c r="D712" i="1"/>
  <c r="C713" i="1"/>
  <c r="D713" i="1"/>
  <c r="C714" i="1"/>
  <c r="D714" i="1"/>
  <c r="C715" i="1"/>
  <c r="D715" i="1"/>
  <c r="C716" i="1"/>
  <c r="D716" i="1"/>
  <c r="C717" i="1"/>
  <c r="D717" i="1"/>
  <c r="C718" i="1"/>
  <c r="D718" i="1"/>
  <c r="C719" i="1"/>
  <c r="D719" i="1"/>
  <c r="C720" i="1"/>
  <c r="D720" i="1"/>
  <c r="C721" i="1"/>
  <c r="D721" i="1"/>
  <c r="C722" i="1"/>
  <c r="D722" i="1"/>
  <c r="C723" i="1"/>
  <c r="D723" i="1"/>
  <c r="C724" i="1"/>
  <c r="D724" i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C732" i="1"/>
  <c r="D732" i="1"/>
  <c r="C733" i="1"/>
  <c r="D733" i="1"/>
  <c r="C734" i="1"/>
  <c r="D734" i="1"/>
  <c r="C735" i="1"/>
  <c r="D735" i="1"/>
  <c r="C736" i="1"/>
  <c r="D736" i="1"/>
  <c r="C737" i="1"/>
  <c r="D737" i="1"/>
  <c r="C738" i="1"/>
  <c r="D738" i="1"/>
  <c r="C739" i="1"/>
  <c r="D739" i="1"/>
  <c r="C740" i="1"/>
  <c r="D740" i="1"/>
  <c r="C741" i="1"/>
  <c r="D741" i="1"/>
  <c r="C742" i="1"/>
  <c r="D742" i="1"/>
  <c r="C743" i="1"/>
  <c r="D743" i="1"/>
  <c r="C744" i="1"/>
  <c r="D744" i="1"/>
  <c r="C745" i="1"/>
  <c r="D745" i="1"/>
  <c r="C746" i="1"/>
  <c r="D746" i="1"/>
  <c r="C747" i="1"/>
  <c r="D747" i="1"/>
  <c r="C748" i="1"/>
  <c r="D748" i="1"/>
  <c r="C749" i="1"/>
  <c r="D749" i="1"/>
  <c r="C750" i="1"/>
  <c r="D750" i="1"/>
  <c r="C751" i="1"/>
  <c r="D751" i="1"/>
  <c r="C752" i="1"/>
  <c r="D752" i="1"/>
  <c r="C753" i="1"/>
  <c r="D753" i="1"/>
  <c r="C754" i="1"/>
  <c r="D754" i="1"/>
  <c r="C755" i="1"/>
  <c r="D755" i="1"/>
  <c r="C756" i="1"/>
  <c r="D756" i="1"/>
  <c r="C757" i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D764" i="1"/>
  <c r="C765" i="1"/>
  <c r="D765" i="1"/>
  <c r="C766" i="1"/>
  <c r="D766" i="1"/>
  <c r="C767" i="1"/>
  <c r="D767" i="1"/>
  <c r="C768" i="1"/>
  <c r="D768" i="1"/>
  <c r="C769" i="1"/>
  <c r="D769" i="1"/>
  <c r="C770" i="1"/>
  <c r="D770" i="1"/>
  <c r="C771" i="1"/>
  <c r="D771" i="1"/>
  <c r="C772" i="1"/>
  <c r="D772" i="1"/>
  <c r="C773" i="1"/>
  <c r="D773" i="1"/>
  <c r="C774" i="1"/>
  <c r="D774" i="1"/>
  <c r="C775" i="1"/>
  <c r="D775" i="1"/>
  <c r="C776" i="1"/>
  <c r="D776" i="1"/>
  <c r="C777" i="1"/>
  <c r="D777" i="1"/>
  <c r="C778" i="1"/>
  <c r="D778" i="1"/>
  <c r="C779" i="1"/>
  <c r="D779" i="1"/>
  <c r="C780" i="1"/>
  <c r="D780" i="1"/>
  <c r="C781" i="1"/>
  <c r="D781" i="1"/>
  <c r="C782" i="1"/>
  <c r="D782" i="1"/>
  <c r="C783" i="1"/>
  <c r="D783" i="1"/>
  <c r="C784" i="1"/>
  <c r="D784" i="1"/>
  <c r="C785" i="1"/>
  <c r="D785" i="1"/>
  <c r="C786" i="1"/>
  <c r="D786" i="1"/>
  <c r="C787" i="1"/>
  <c r="D787" i="1"/>
  <c r="C788" i="1"/>
  <c r="D788" i="1"/>
  <c r="C789" i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C798" i="1"/>
  <c r="D798" i="1"/>
  <c r="C799" i="1"/>
  <c r="D799" i="1"/>
  <c r="C800" i="1"/>
  <c r="D800" i="1"/>
  <c r="C801" i="1"/>
  <c r="D801" i="1"/>
  <c r="C802" i="1"/>
  <c r="D802" i="1"/>
  <c r="C803" i="1"/>
  <c r="D803" i="1"/>
  <c r="C804" i="1"/>
  <c r="D804" i="1"/>
  <c r="C805" i="1"/>
  <c r="D805" i="1"/>
  <c r="C806" i="1"/>
  <c r="D806" i="1"/>
  <c r="C807" i="1"/>
  <c r="D807" i="1"/>
  <c r="C808" i="1"/>
  <c r="D808" i="1"/>
  <c r="C809" i="1"/>
  <c r="D809" i="1"/>
  <c r="C810" i="1"/>
  <c r="D810" i="1"/>
  <c r="C811" i="1"/>
  <c r="D811" i="1"/>
  <c r="C812" i="1"/>
  <c r="D812" i="1"/>
  <c r="C813" i="1"/>
  <c r="D813" i="1"/>
  <c r="C814" i="1"/>
  <c r="D814" i="1"/>
  <c r="C815" i="1"/>
  <c r="D815" i="1"/>
  <c r="C816" i="1"/>
  <c r="D816" i="1"/>
  <c r="C817" i="1"/>
  <c r="D817" i="1"/>
  <c r="C818" i="1"/>
  <c r="D818" i="1"/>
  <c r="C819" i="1"/>
  <c r="D819" i="1"/>
  <c r="C820" i="1"/>
  <c r="D820" i="1"/>
  <c r="C821" i="1"/>
  <c r="D821" i="1"/>
  <c r="C822" i="1"/>
  <c r="D822" i="1"/>
  <c r="C823" i="1"/>
  <c r="D823" i="1"/>
  <c r="C824" i="1"/>
  <c r="D824" i="1"/>
  <c r="C825" i="1"/>
  <c r="D825" i="1"/>
  <c r="C826" i="1"/>
  <c r="D826" i="1"/>
  <c r="C827" i="1"/>
  <c r="D827" i="1"/>
  <c r="C828" i="1"/>
  <c r="D828" i="1"/>
  <c r="C829" i="1"/>
  <c r="D829" i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D837" i="1"/>
  <c r="C838" i="1"/>
  <c r="D838" i="1"/>
  <c r="C839" i="1"/>
  <c r="D839" i="1"/>
  <c r="C840" i="1"/>
  <c r="D840" i="1"/>
  <c r="C841" i="1"/>
  <c r="D841" i="1"/>
  <c r="C842" i="1"/>
  <c r="D842" i="1"/>
  <c r="C843" i="1"/>
  <c r="D843" i="1"/>
  <c r="C844" i="1"/>
  <c r="D844" i="1"/>
  <c r="C845" i="1"/>
  <c r="D845" i="1"/>
  <c r="C846" i="1"/>
  <c r="D846" i="1"/>
  <c r="C847" i="1"/>
  <c r="D847" i="1"/>
  <c r="C848" i="1"/>
  <c r="D848" i="1"/>
  <c r="C849" i="1"/>
  <c r="D849" i="1"/>
  <c r="C850" i="1"/>
  <c r="D850" i="1"/>
  <c r="C851" i="1"/>
  <c r="D851" i="1"/>
  <c r="C852" i="1"/>
  <c r="D852" i="1"/>
  <c r="C853" i="1"/>
  <c r="D853" i="1"/>
  <c r="C854" i="1"/>
  <c r="D854" i="1"/>
  <c r="C855" i="1"/>
  <c r="D855" i="1"/>
  <c r="C856" i="1"/>
  <c r="D856" i="1"/>
  <c r="C857" i="1"/>
  <c r="D857" i="1"/>
  <c r="C858" i="1"/>
  <c r="D858" i="1"/>
  <c r="C859" i="1"/>
  <c r="D859" i="1"/>
  <c r="C860" i="1"/>
  <c r="D860" i="1"/>
  <c r="C861" i="1"/>
  <c r="D861" i="1"/>
  <c r="C862" i="1"/>
  <c r="D862" i="1"/>
  <c r="C863" i="1"/>
  <c r="D863" i="1"/>
  <c r="C864" i="1"/>
  <c r="D864" i="1"/>
  <c r="C865" i="1"/>
  <c r="D865" i="1"/>
  <c r="C866" i="1"/>
  <c r="D866" i="1"/>
  <c r="C867" i="1"/>
  <c r="D867" i="1"/>
  <c r="C868" i="1"/>
  <c r="D868" i="1"/>
  <c r="C869" i="1"/>
  <c r="D869" i="1"/>
  <c r="C870" i="1"/>
  <c r="D870" i="1"/>
  <c r="C871" i="1"/>
  <c r="D871" i="1"/>
  <c r="C872" i="1"/>
  <c r="D872" i="1"/>
  <c r="C873" i="1"/>
  <c r="D873" i="1"/>
  <c r="C874" i="1"/>
  <c r="D874" i="1"/>
</calcChain>
</file>

<file path=xl/sharedStrings.xml><?xml version="1.0" encoding="utf-8"?>
<sst xmlns="http://schemas.openxmlformats.org/spreadsheetml/2006/main" count="6758" uniqueCount="3203">
  <si>
    <t>Document ID</t>
  </si>
  <si>
    <t>Title</t>
  </si>
  <si>
    <t>PrintIsbn</t>
  </si>
  <si>
    <t>EIsbn</t>
  </si>
  <si>
    <t>Publisher</t>
  </si>
  <si>
    <t>PublicationDate</t>
  </si>
  <si>
    <t>Document Type</t>
  </si>
  <si>
    <t>Title Edition</t>
  </si>
  <si>
    <t>Series Title</t>
  </si>
  <si>
    <t>Authors</t>
  </si>
  <si>
    <t>Subject</t>
  </si>
  <si>
    <t>Dewey</t>
  </si>
  <si>
    <t>Lcsh</t>
  </si>
  <si>
    <t>Language</t>
  </si>
  <si>
    <t>The Spenser Encyclopedia</t>
  </si>
  <si>
    <t>Taylor &amp; Francis Group</t>
  </si>
  <si>
    <t>Book</t>
  </si>
  <si>
    <t>Hamilton, A. C.</t>
  </si>
  <si>
    <t>Literature</t>
  </si>
  <si>
    <t>Spenser, Edmund, -- 1552?-1599 -- Dictionaries. ; English literature.</t>
  </si>
  <si>
    <t>English</t>
  </si>
  <si>
    <t>The Shakespeare Name Dictionary</t>
  </si>
  <si>
    <t>Davis, J. Madison;Frankforter, Daniel A.</t>
  </si>
  <si>
    <t>822.3/3</t>
  </si>
  <si>
    <t>Shakespeare, William, -- 1564-1616 -- Dictionaries. ; Names, Geographical, in literature -- Dictionaries. ; Names, Personal, in literature -- Dictionaries.</t>
  </si>
  <si>
    <t>The Blackwell Handbook of Global Management : A Guide to Managing Complexity</t>
  </si>
  <si>
    <t>John Wiley &amp; Sons, Incorporated</t>
  </si>
  <si>
    <t>Blackwell Handbooks in Management Ser.</t>
  </si>
  <si>
    <t>Lane, Henry W.;Maznevski, Martha L.;McNett, Jeanne;Mendenhall, Mark E.;Maznevski, Martha</t>
  </si>
  <si>
    <t>Business/Management</t>
  </si>
  <si>
    <t>658/.049</t>
  </si>
  <si>
    <t>International business enterprises -- Management. ; Business.</t>
  </si>
  <si>
    <t>Musical Performance : A Guide to Understanding</t>
  </si>
  <si>
    <t>Cambridge University Press</t>
  </si>
  <si>
    <t>Rink, John</t>
  </si>
  <si>
    <t>Fine Arts</t>
  </si>
  <si>
    <t>Music--Performance</t>
  </si>
  <si>
    <t>Mathematical Methods for Physics and Engineering : A Comprehensive Guide</t>
  </si>
  <si>
    <t>Riley, K. F.;Hobson, M. P.;Bence, S. J.</t>
  </si>
  <si>
    <t>Mathematics</t>
  </si>
  <si>
    <t>Mathematical analysis.</t>
  </si>
  <si>
    <t>Urban Insects and Arachnids : A Handbook of Urban Entomology</t>
  </si>
  <si>
    <t>Robinson, William H.</t>
  </si>
  <si>
    <t>Science: Zoology; Science</t>
  </si>
  <si>
    <t>Urban entomology--Handbooks, manuals, etc</t>
  </si>
  <si>
    <t>The Blackwell Handbook of Personnel Selection</t>
  </si>
  <si>
    <t>Evers, Arne;Smit-Voskuijl, Olga;Anderson, Neil;Smit-Voskuijl, Olga;Anderson, Neil;Smit-Voskuijl, Olga</t>
  </si>
  <si>
    <t>Employee selection. ; Employee screening. ; Employment tests. ; Employees -- Recruiting.</t>
  </si>
  <si>
    <t>Archaeology in Practice : A Student Guide to Archaeological Analyses</t>
  </si>
  <si>
    <t>Balme, Jane;Paterson, Alistair</t>
  </si>
  <si>
    <t>History</t>
  </si>
  <si>
    <t>Archaeology -- Methodology. ; Archaeology -- Laboratory manuals.</t>
  </si>
  <si>
    <t>The Cambridge Handbook of Age and Ageing</t>
  </si>
  <si>
    <t>Cambridge Handbooks in Psychology</t>
  </si>
  <si>
    <t>Johnson, Malcolm L.;Bengtson, Vern L.;Coleman, Peter G.;Kirkwood, Thomas B. L.</t>
  </si>
  <si>
    <t>Social Science</t>
  </si>
  <si>
    <t>Penal colonies -- Australia -- History. ; Prisoners -- Australia -- History. ; Frontier and pioneer life -- Australia. ; Governors -- Australia -- New South Wales -- History. ; Australia -- History -- To 1788. ; Australia -- History -- 1788-1900.</t>
  </si>
  <si>
    <t>The Cambridge Mozart Encyclopedia</t>
  </si>
  <si>
    <t>Eisen, Cliff;Keefe, Simon P.</t>
  </si>
  <si>
    <t>Mozart, Wolfgang Amadeus,--1756-1791--Encyclopedias</t>
  </si>
  <si>
    <t>The International Handbook of Creativity</t>
  </si>
  <si>
    <t>Kaufman, James C.;Sternberg, Robert J.</t>
  </si>
  <si>
    <t>Psychology; Social Science</t>
  </si>
  <si>
    <t>Creative ability--Cross-cultural studies</t>
  </si>
  <si>
    <t>A Walk through the Heavens : A Guide to Stars and Constellations and their Legends</t>
  </si>
  <si>
    <t>Heifetz, Milton D.;Tirion, Wil</t>
  </si>
  <si>
    <t>Science; Science: Astronomy</t>
  </si>
  <si>
    <t>Stars--Observers' manuals</t>
  </si>
  <si>
    <t>Encyclopedia of Contemporary Japanese Culture</t>
  </si>
  <si>
    <t>Encyclopedias of Contemporary Culture</t>
  </si>
  <si>
    <t>Buckley, Sandra</t>
  </si>
  <si>
    <t>952.04/03</t>
  </si>
  <si>
    <t>Popular culture -- Japan -- Encyclopedias. ; Japan -- Civilization -- 1945- -- Encyclopedias.</t>
  </si>
  <si>
    <t>A Handbook of Wisdom : Psychological Perspectives</t>
  </si>
  <si>
    <t>Sternberg, Robert;Jordan, Jennifer</t>
  </si>
  <si>
    <t>Philosophy; Psychology</t>
  </si>
  <si>
    <t>Wisdom</t>
  </si>
  <si>
    <t>Dictionary of Applied Math for Engineers and Scientists</t>
  </si>
  <si>
    <t>Previato, Emma</t>
  </si>
  <si>
    <t>510/.3</t>
  </si>
  <si>
    <t>Elsevier's Dictionary of Art History Terms : French/English-English/French</t>
  </si>
  <si>
    <t>Emerald Publishing Limited</t>
  </si>
  <si>
    <t xml:space="preserve">Michaux, J. P.;Michaux, J P </t>
  </si>
  <si>
    <t>Art - French</t>
  </si>
  <si>
    <t>The Cambridge Dictionary of Statistics</t>
  </si>
  <si>
    <t>Everitt, B. S.</t>
  </si>
  <si>
    <t>Mathematical statistics -- Dictionaries. ; Statistics -- Dictionaries.</t>
  </si>
  <si>
    <t>A Companion to the Hellenistic World</t>
  </si>
  <si>
    <t>Blackwell Companions to the Ancient World Ser.</t>
  </si>
  <si>
    <t>Erskine, Andrew</t>
  </si>
  <si>
    <t>Hellenism. ; Mediterranean Region -- History -- To 476. ; Greece -- History -- Macedonian Hegemony, 323-281 B.C. ; Greece -- History -- 281-146 B.C.</t>
  </si>
  <si>
    <t>A Brief History of Spirituality</t>
  </si>
  <si>
    <t>Wiley Blackwell Brief Histories of Religion Ser.</t>
  </si>
  <si>
    <t>Sheldrake, Philip</t>
  </si>
  <si>
    <t>Religion</t>
  </si>
  <si>
    <t>Spirituality -- History. ; Spiritual life.</t>
  </si>
  <si>
    <t>A Companion to Contemporary Art Since 1945</t>
  </si>
  <si>
    <t>Blackwell Companions to Art History Ser.</t>
  </si>
  <si>
    <t>Jones, Amelia;Arnold, Dana</t>
  </si>
  <si>
    <t>709.04/5</t>
  </si>
  <si>
    <t>Art, Modern -- 20th century -- History. ; Art, Modern -- 21st century -- History.</t>
  </si>
  <si>
    <t>An Introduction to the Standard Model of Particle Physics</t>
  </si>
  <si>
    <t>Cottingham, W. N.;Greenwood, D. A.</t>
  </si>
  <si>
    <t>Science: Physics; Science</t>
  </si>
  <si>
    <t>Standard model (Nuclear physics)</t>
  </si>
  <si>
    <t>The Cambridge Introduction to Emily Dickinson</t>
  </si>
  <si>
    <t>Cambridge Introductions to Literature</t>
  </si>
  <si>
    <t>Martin, Wendy</t>
  </si>
  <si>
    <t>Dickinson, Emily,--1830-1886--Criticism and interpretation</t>
  </si>
  <si>
    <t>The Cambridge Introduction to Ezra Pound</t>
  </si>
  <si>
    <t>Nadel, Ira B.</t>
  </si>
  <si>
    <t>Pound, Ezra,--1885-1972--Criticism and interpretation</t>
  </si>
  <si>
    <t>The Cambridge Introduction to F. Scott Fitzgerald</t>
  </si>
  <si>
    <t>Curnutt, Kirk</t>
  </si>
  <si>
    <t>Fitzgerald, F. Scott--(Francis Scott),--1896-1940--Criticism and interpretation</t>
  </si>
  <si>
    <t>The Cambridge Introduction to Harriet Beecher Stowe</t>
  </si>
  <si>
    <t>Robbins, Sarah</t>
  </si>
  <si>
    <t>Stowe, Harriet Beecher,--1811-1896--Criticism and interpretation</t>
  </si>
  <si>
    <t>The Cambridge Introduction to Herman Melville</t>
  </si>
  <si>
    <t>Hayes, Kevin J.</t>
  </si>
  <si>
    <t>Melville, Herman,--1819-1891--Handbooks, manuals, etc</t>
  </si>
  <si>
    <t>The Cambridge Introduction to Mark Twain</t>
  </si>
  <si>
    <t>Messent, Peter</t>
  </si>
  <si>
    <t>Twain, Mark,--1835-1910--Handbooks, manuals, etc</t>
  </si>
  <si>
    <t>The Cambridge Introduction to Nathaniel Hawthorne</t>
  </si>
  <si>
    <t>Person, Leland S.</t>
  </si>
  <si>
    <t>Hawthorne, Nathaniel,--1804-1864--Criticism and interpretation</t>
  </si>
  <si>
    <t>The Cambridge Introduction to Shakespeare</t>
  </si>
  <si>
    <t>Smith, Emma</t>
  </si>
  <si>
    <t>Shakespeare, William,--1564-1616--Handbooks, manuals, etc</t>
  </si>
  <si>
    <t>The Cambridge Introduction to Shakespeare's Tragedies</t>
  </si>
  <si>
    <t>Dillon, Janette</t>
  </si>
  <si>
    <t>Shakespeare, William,--1564-1616--Tragedies</t>
  </si>
  <si>
    <t>The Cambridge Introduction to Walt Whitman</t>
  </si>
  <si>
    <t>Killingsworth, M. Jimmie</t>
  </si>
  <si>
    <t>Whitman, Walt,--1819-1892--Handbooks, manuals, etc</t>
  </si>
  <si>
    <t>An Illustrated Brief History of Western Philosophy</t>
  </si>
  <si>
    <t>Kenny, Anthony</t>
  </si>
  <si>
    <t>Philosophy</t>
  </si>
  <si>
    <t>Philosophy -- History.</t>
  </si>
  <si>
    <t>A Companion to Ancient Philosophy</t>
  </si>
  <si>
    <t>Blackwell Companions to Philosophy Ser.</t>
  </si>
  <si>
    <t>Gill, Mary Louise;Pellegrin, Pierre</t>
  </si>
  <si>
    <t>Philosophy, Ancient.</t>
  </si>
  <si>
    <t>A Handbook of Leisure Studies</t>
  </si>
  <si>
    <t>Palgrave Macmillan UK</t>
  </si>
  <si>
    <t>Rojek, C.;Shaw, S.;Veal, A.</t>
  </si>
  <si>
    <t>Social Science; Economics; Business/Management</t>
  </si>
  <si>
    <t>Leisure -- Research.</t>
  </si>
  <si>
    <t>Handbook of Liaison Psychiatry</t>
  </si>
  <si>
    <t>Lloyd, Geoffrey;Guthrie, Elspeth</t>
  </si>
  <si>
    <t>Medicine; Psychology</t>
  </si>
  <si>
    <t>Consultation-liaison psychiatry--Handbooks, manuals, etc</t>
  </si>
  <si>
    <t>Cambridge Handbook of Psychology, Health and Medicine</t>
  </si>
  <si>
    <t xml:space="preserve">Ayers, Susan;Baum, Andrew;McManus, Chris;Newman, Stanton ;Wallston, Kenneth;Weinman, John ;West, Robert </t>
  </si>
  <si>
    <t>Medicine</t>
  </si>
  <si>
    <t>Medicine and psychology--Handbooks, manuals, etc</t>
  </si>
  <si>
    <t>The Cambridge Handbook of Consciousness</t>
  </si>
  <si>
    <t>Zelazo, Philip David;Moscovitch, Morris;Thompson, Evan</t>
  </si>
  <si>
    <t>Consciousness</t>
  </si>
  <si>
    <t>Observing the Moon : The Modern Astronomer's Guide</t>
  </si>
  <si>
    <t>North, Gerald</t>
  </si>
  <si>
    <t>Science: Astronomy; Science</t>
  </si>
  <si>
    <t>Moon</t>
  </si>
  <si>
    <t>A Companion to Contemporary Political Philosophy</t>
  </si>
  <si>
    <t>Goodin, Robert E.;Pettit, Philip;Pogge, Thomas W.;Pogge, Thomas W.</t>
  </si>
  <si>
    <t>Political Science</t>
  </si>
  <si>
    <t>Political science -- Philosophy.</t>
  </si>
  <si>
    <t>A Companion to Latina/o Studies</t>
  </si>
  <si>
    <t>Blackwell Companions in Cultural Studies</t>
  </si>
  <si>
    <t>Flores, Juan;Rosaldo, Renato</t>
  </si>
  <si>
    <t>Social Science; History</t>
  </si>
  <si>
    <t>Hispanic Americans. ; United States -- Race relations -- Study and teaching.</t>
  </si>
  <si>
    <t>The Cambridge Introduction to Samuel Beckett</t>
  </si>
  <si>
    <t>McDonald, Ronan</t>
  </si>
  <si>
    <t>Beckett, Samuel,--1906-1989--Criticism and interpretation</t>
  </si>
  <si>
    <t>Pocket Guide for Cutaneous Medicine and Surgery</t>
  </si>
  <si>
    <t>Lane, Joshua E.;Lesher, Jack L.;Davis, Loretta S.</t>
  </si>
  <si>
    <t>Skin Diseases - surgery</t>
  </si>
  <si>
    <t>Manual of Emergency and Critical Care Ultrasound</t>
  </si>
  <si>
    <t>Noble, Vicki;Nelson, Bret;Sutingco, Nicholas</t>
  </si>
  <si>
    <t>616.07/543</t>
  </si>
  <si>
    <t>Diagnostic ultrasonic imaging -- Handbooks, manuals, etc. ; Ultrasonic imaging -- Handbooks, manuals, etc. ; Emergency medicine -- Diagnosis -- Handbooks, manuals, etc.</t>
  </si>
  <si>
    <t>International Focus Group Research : A Handbook for the Health and Social Sciences</t>
  </si>
  <si>
    <t>Hennink, Monique M.</t>
  </si>
  <si>
    <t>Focus groups</t>
  </si>
  <si>
    <t>The Cambridge Introduction to Francophone Literature</t>
  </si>
  <si>
    <t>Corcoran, Patrick</t>
  </si>
  <si>
    <t>French literature - French-speaking countries - History and criticism</t>
  </si>
  <si>
    <t>Learning Medicine : How to Become and Remain a Good Doctor</t>
  </si>
  <si>
    <t xml:space="preserve">Richards, Peter;Stockill, Simon;Foster, Rosalind;Ingall, Elizabeth </t>
  </si>
  <si>
    <t>Medicine -- Vocational guidance -- Great Britain. ; Medical education -- Great Britain.</t>
  </si>
  <si>
    <t>The A-Z of Social Research : A Dictionary of Key Social Science Research Concepts</t>
  </si>
  <si>
    <t>SAGE Publications</t>
  </si>
  <si>
    <t>Miller, Robert Lee;Brewer, John D.</t>
  </si>
  <si>
    <t>Social sciences - Research</t>
  </si>
  <si>
    <t>The SAGE Dictionary of Sociology</t>
  </si>
  <si>
    <t>Bruce, Steve;Yearley, Steven</t>
  </si>
  <si>
    <t>Sociology</t>
  </si>
  <si>
    <t>Teledermatology : A User's Guide</t>
  </si>
  <si>
    <t>Pak, Hon S.;Edison, Karen E.;Whited, John D.</t>
  </si>
  <si>
    <t>Dermatology - organization &amp; administration</t>
  </si>
  <si>
    <t>Operating Department Practice A-Z</t>
  </si>
  <si>
    <t>Williams, Tom;Smith, Brian</t>
  </si>
  <si>
    <t>Surgical Procedures, Operative - English</t>
  </si>
  <si>
    <t>The Cambridge Introduction to Modern Irish Poetry, 1800–2000</t>
  </si>
  <si>
    <t>Quinn, Justin</t>
  </si>
  <si>
    <t>Irish poetry - 19th century - History and criticism</t>
  </si>
  <si>
    <t>The Cambridge Introduction to George Eliot</t>
  </si>
  <si>
    <t>Henry, Nancy</t>
  </si>
  <si>
    <t>Eliot, George</t>
  </si>
  <si>
    <t>The Cambridge Introduction to William Faulkner</t>
  </si>
  <si>
    <t>Towner, Theresa M.</t>
  </si>
  <si>
    <t>Faulkner, William, -- 1897-1962 -- Criticism and interpretation. ; American literature.</t>
  </si>
  <si>
    <t>The Cambridge Introduction to Shakespeare's Comedies</t>
  </si>
  <si>
    <t>Gay, Penny</t>
  </si>
  <si>
    <t>English drama (Comedy) - History and criticism</t>
  </si>
  <si>
    <t>An Introduction to Genetic Engineering</t>
  </si>
  <si>
    <t>Nicholl, Desmond S. T.</t>
  </si>
  <si>
    <t>Engineering: Chemical; Science; Engineering; Science: Biology/Natural History</t>
  </si>
  <si>
    <t>Photography -- Digital techniques. ; Image processing -- Digital techniques.</t>
  </si>
  <si>
    <t>A-Z of Musculoskeletal and Trauma Radiology</t>
  </si>
  <si>
    <t>Murray, James R. D.;Holmes, Erskine J.;Misra, Rakesh R.</t>
  </si>
  <si>
    <t>Diagnosis, Radioscopic. ; Wounds and injuries. ; Wounds and injuries -- Diagnosis. ; Musculoskeletal system -- Radiography. ; Musculoskeletal system -- Wounds and injuries.</t>
  </si>
  <si>
    <t>Introduction to Quantum Theory</t>
  </si>
  <si>
    <t>Paul, Harry</t>
  </si>
  <si>
    <t>Microscopy</t>
  </si>
  <si>
    <t>A Companion to the American Revolution</t>
  </si>
  <si>
    <t>Wiley Blackwell Companions to American History Ser.</t>
  </si>
  <si>
    <t>Greene, Jack P.;Pole, J. R.</t>
  </si>
  <si>
    <t>United States -- History -- Revolution, 1775-1783.</t>
  </si>
  <si>
    <t>The Cambridge Introduction to Russian Literature</t>
  </si>
  <si>
    <t>Emerson, Caryl</t>
  </si>
  <si>
    <t>Russian literature - Themes, motives</t>
  </si>
  <si>
    <t>A Companion to Qualitative Research : Paradigms, Theories, Methods, Practice and Contexts</t>
  </si>
  <si>
    <t>Flick, Uwe;von Kardoff, Ernst;Steinke, Ines</t>
  </si>
  <si>
    <t>Interpretation of Emergency Head CT : A Practical Handbook</t>
  </si>
  <si>
    <t>Holmes, Erskine J.;Forrest-Hay, Anna C.;Misra, Rakesh R.</t>
  </si>
  <si>
    <t>Head -- Diseases -- Handbooks, manuals, etc. ; Head -- Tomography -- Handbooks, manuals, etc. ; Head -- Wounds and injuries -- Handbooks, manuals, etc. ; Medical emergencies -- Handbooks, manuals, etc.</t>
  </si>
  <si>
    <t>Pediatric and Adolescent Psychopharmacology : A Practical Manual for Pediatricians</t>
  </si>
  <si>
    <t>Cambridge Clinical Guides</t>
  </si>
  <si>
    <t>Greydanus, Donald E.;Calles, Jr, Joseph L.;Patel, Dilip R.</t>
  </si>
  <si>
    <t>Psychology; Medicine; Pharmacy</t>
  </si>
  <si>
    <t>Psychopharmacology - methods</t>
  </si>
  <si>
    <t>Essential Psychiatry</t>
  </si>
  <si>
    <t xml:space="preserve">Murray, Robin M.;Kendler, Kenneth S.;McGuffin, Peter;Wessely, Simon ;Castle, David J. </t>
  </si>
  <si>
    <t>Psychology; Medicine</t>
  </si>
  <si>
    <t>Mental Disorders</t>
  </si>
  <si>
    <t>The Cambridge Introduction to Robert Frost</t>
  </si>
  <si>
    <t>Faggen, Robert</t>
  </si>
  <si>
    <t>Frost, Robert - Criticism and interpretation</t>
  </si>
  <si>
    <t>The Cambridge Introduction to Zora Neale Hurston</t>
  </si>
  <si>
    <t>King, Lovalerie</t>
  </si>
  <si>
    <t>Hurston, Zora Neale - Criticism and interpretation</t>
  </si>
  <si>
    <t>The Cambridge Introduction to Edgar Allan Poe</t>
  </si>
  <si>
    <t>Fisher, Benjamin F.</t>
  </si>
  <si>
    <t>Poe, Edgar Allan - Criticism and interpretation</t>
  </si>
  <si>
    <t>The Cambridge Introduction to Michel Foucault</t>
  </si>
  <si>
    <t>Downing, Lisa</t>
  </si>
  <si>
    <t>Foucault, Michel, -- 1926-1984. ; Philosophers -- France.</t>
  </si>
  <si>
    <t>The Cambridge Introduction to Walter Benjamin</t>
  </si>
  <si>
    <t>Ferris, David S.</t>
  </si>
  <si>
    <t>Benjamin, Walter - Criticism and interpretation</t>
  </si>
  <si>
    <t>The Cambridge Introduction to Sylvia Plath</t>
  </si>
  <si>
    <t>Gill, Jo</t>
  </si>
  <si>
    <t>Plath, Sylvia -- Criticism and interpretation. ; Women and literature -- United States -- History -- 20th century.</t>
  </si>
  <si>
    <t>Glossary of Labour Law and Industrial Relations</t>
  </si>
  <si>
    <t>International Labour Office</t>
  </si>
  <si>
    <t>Arrigo, Gianni;Casale, Giuseppe</t>
  </si>
  <si>
    <t>Law</t>
  </si>
  <si>
    <t>344/.01</t>
  </si>
  <si>
    <t>Economic development. ; Industrial relations. ; Labor laws and legislation. ; Labor market. ; Labor supply. ; Manpower policy.</t>
  </si>
  <si>
    <t>My First Britannica : Volumes 1 - 13</t>
  </si>
  <si>
    <t>Encyclopaedia Britannica, Incorporated</t>
  </si>
  <si>
    <t>Encyclopaedia Britannnica, Inc.</t>
  </si>
  <si>
    <t>General Works/Reference; Juvenile Literature</t>
  </si>
  <si>
    <t>Children's encyclopedias and dictionaries. ; Children's atlases.</t>
  </si>
  <si>
    <t>The Encyclopedia of Psychological Trauma</t>
  </si>
  <si>
    <t>Reyes, Gilbert;Elhai, Jon D.;Ford, Julian D.</t>
  </si>
  <si>
    <t>616.85/21003</t>
  </si>
  <si>
    <t>Post-traumatic stress disorder -- Encyclopedias. ; Stress (Psychology) -- Encyclopedias.</t>
  </si>
  <si>
    <t>The Cambridge Handbook of Metaphor and Thought</t>
  </si>
  <si>
    <t>Gibbs, Jr., Raymond W.</t>
  </si>
  <si>
    <t>Philosophy; Language/Linguistics</t>
  </si>
  <si>
    <t>Psycholinguistics</t>
  </si>
  <si>
    <t>Introduction to Bronchoscopy</t>
  </si>
  <si>
    <t>Ernst, Armin</t>
  </si>
  <si>
    <t>Bronchoscopy</t>
  </si>
  <si>
    <t>Essential Clinical Immunology</t>
  </si>
  <si>
    <t>Zabriskie, John B.;Tracey, Kevin J.</t>
  </si>
  <si>
    <t>Immune System Diseases</t>
  </si>
  <si>
    <t>A-Z of Abdominal Radiology</t>
  </si>
  <si>
    <t>Conder, Gabriel;Rendle, John;Kidd, Sarah;Misra, Rakesh R.</t>
  </si>
  <si>
    <t>Internal medicine. ; Abdomen.</t>
  </si>
  <si>
    <t>The Cambridge Introduction to The Nineteenth-Century American Novel</t>
  </si>
  <si>
    <t>Crane, Gregg</t>
  </si>
  <si>
    <t>American fiction--19th century--History and criticism</t>
  </si>
  <si>
    <t>The Names of Plants</t>
  </si>
  <si>
    <t>Gledhill, David;Gledhill, David</t>
  </si>
  <si>
    <t>Science; Science: Botany</t>
  </si>
  <si>
    <t>Iron and steel bridges -- Design and construction. ; Railroad bridges -- Design and construction.</t>
  </si>
  <si>
    <t>A Companion to the British and Irish Short Story</t>
  </si>
  <si>
    <t>Blackwell Companions to Literature and Culture Ser.</t>
  </si>
  <si>
    <t>Malcolm, David;Malcolm, Cheryl Alexander</t>
  </si>
  <si>
    <t>823.0109;823/.0109</t>
  </si>
  <si>
    <t>English fiction -- Irish authors -- History and criticism. ; Short stories, English -- History and criticism. ; Short stories, English -- Themes, motives.</t>
  </si>
  <si>
    <t>Handbook of Sports Medicine and Science : Sport Psychology</t>
  </si>
  <si>
    <t>Olympic Handbook of Sports Medicine Ser.</t>
  </si>
  <si>
    <t>Brewer, Britton W.</t>
  </si>
  <si>
    <t>Sport &amp;amp; Recreation</t>
  </si>
  <si>
    <t>Sports -- Psychological aspects -- Handbooks, manuals, etc. ; Sports medicine -- Handbooks, manuals, etc.</t>
  </si>
  <si>
    <t>The New Blackwell Companion to Social Theory</t>
  </si>
  <si>
    <t>Wiley Blackwell Companions to Sociology Ser.</t>
  </si>
  <si>
    <t xml:space="preserve">Turner, Bryan S.;Turner, Professor Bryan S , Professor;Turner, Professor Bryan S ;Turner, Bryan S </t>
  </si>
  <si>
    <t>Social sciences -- Philosophy. ; Sociology -- Philosophy.</t>
  </si>
  <si>
    <t>The Cambridge Double Star Atlas</t>
  </si>
  <si>
    <t>Mullaney, James;Tirion, Wil</t>
  </si>
  <si>
    <t>523.8/410223</t>
  </si>
  <si>
    <t>Double stars -- Charts, diagrams, etc. ; Double stars -- Observers' manuals.</t>
  </si>
  <si>
    <t>The Cambridge Handbook of Literacy</t>
  </si>
  <si>
    <t>Olson, David R.;Torrance, Nancy</t>
  </si>
  <si>
    <t>Social Science; Education</t>
  </si>
  <si>
    <t>Literacy</t>
  </si>
  <si>
    <t>The Cambridge Introduction to Jacques Derrida</t>
  </si>
  <si>
    <t>Hill, Leslie</t>
  </si>
  <si>
    <t>Derrida, Jacques.</t>
  </si>
  <si>
    <t>The Cambridge Introduction to the Short Story in English</t>
  </si>
  <si>
    <t>Hunter, Adrian</t>
  </si>
  <si>
    <t>Short stories, English - English-speaking countries - History and criticism</t>
  </si>
  <si>
    <t>The Cambridge Introduction to Postcolonial Literatures in English</t>
  </si>
  <si>
    <t>Innes, C. L.</t>
  </si>
  <si>
    <t>Commonwealth literature (English)--History and criticism</t>
  </si>
  <si>
    <t>Event Planning : The Ultimate Guide to Successful Meetings, Corporate Events, Fundraising Galas, Conferences, Conventions, Incentives and Other Special Events</t>
  </si>
  <si>
    <t>Allen, Judy</t>
  </si>
  <si>
    <t>Social Science; General Works/Reference</t>
  </si>
  <si>
    <t>394.2/068</t>
  </si>
  <si>
    <t>Meetings -- Planning. ; Congresses and conventions -- Planning. ; Special events -- Planning.</t>
  </si>
  <si>
    <t>The Complete Guide to Fundraising Management</t>
  </si>
  <si>
    <t>The AFP/Wiley Fund Development Ser.</t>
  </si>
  <si>
    <t>Weinstein, Stanley</t>
  </si>
  <si>
    <t>Social Science; Business/Management</t>
  </si>
  <si>
    <t>658.15/224</t>
  </si>
  <si>
    <t>Fund raising -- United States -- Management. ; Nonprofit organizations -- United States -- Finance -- Management.</t>
  </si>
  <si>
    <t>Blackwell's Concise Encyclopedia of Environmental Management</t>
  </si>
  <si>
    <t>Calow, Peter P.</t>
  </si>
  <si>
    <t>Economics; Environmental Studies</t>
  </si>
  <si>
    <t>333.7;363.7/003</t>
  </si>
  <si>
    <t>Environmental management -- Dictionaries. ; Environmental sciences -- Dictionaries.</t>
  </si>
  <si>
    <t>A Companion to Russian History</t>
  </si>
  <si>
    <t>Wiley Blackwell Companions to World History Ser.</t>
  </si>
  <si>
    <t>Gleason, Abbott</t>
  </si>
  <si>
    <t>Russia -- History. ; Soviet Union -- History. ; Russia (Federation) -- History.</t>
  </si>
  <si>
    <t>A Companion to Metaphysics</t>
  </si>
  <si>
    <t>Sosa, Ernest;Rosenkrantz, Gary S.;Kim, Jaekwon</t>
  </si>
  <si>
    <t>Metaphysics</t>
  </si>
  <si>
    <t>Manual of Stem Cell and Bone Marrow Transplantation</t>
  </si>
  <si>
    <t>Antin, Joseph H.;Yolin Raley, Deborah</t>
  </si>
  <si>
    <t>Bone marrow -- Transplantation. ; Stem cells -- Transplantation.</t>
  </si>
  <si>
    <t>The Cambridge Introduction to J. M. Coetzee</t>
  </si>
  <si>
    <t>Head, Dominic</t>
  </si>
  <si>
    <t>Coetzee, J. M. - Criticism and interpretation</t>
  </si>
  <si>
    <t>The Cambridge Introduction to Jean Rhys</t>
  </si>
  <si>
    <t>Savory, Elaine</t>
  </si>
  <si>
    <t>Rhys, Jean -- Criticism and interpretation. ; English literature.</t>
  </si>
  <si>
    <t>Hospital Surgery : Foundations in Surgical Practice</t>
  </si>
  <si>
    <t>Cambridge Pocket Clinicians</t>
  </si>
  <si>
    <t>Aziz, Omer;Purkayastha, Sanjay;Paraskeva, Paraskevas</t>
  </si>
  <si>
    <t>Perioperative Care</t>
  </si>
  <si>
    <t>Essentials of Business Ethics : Creating an Organization of High Integrity and Superior Performance</t>
  </si>
  <si>
    <t>Essentials Ser.</t>
  </si>
  <si>
    <t>Collins, Denis</t>
  </si>
  <si>
    <t>Business/Management; Philosophy</t>
  </si>
  <si>
    <t>174/.4</t>
  </si>
  <si>
    <t>Business ethics. ; Free enterprise -- Moral and ethical aspects.</t>
  </si>
  <si>
    <t>Nonprofit Bookkeeping and Accounting for Dummies</t>
  </si>
  <si>
    <t>For Dummies</t>
  </si>
  <si>
    <t>Farris, Sharon</t>
  </si>
  <si>
    <t>Nonprofit organizations -- Accounting. ; Nonprofit organizations -- United States -- Accounting -- Handbooks, manuals, etc.</t>
  </si>
  <si>
    <t>International Encyclopedia of Depression</t>
  </si>
  <si>
    <t>Springer Publishing Company</t>
  </si>
  <si>
    <t>Ingram, Rick E.</t>
  </si>
  <si>
    <t>616.85/27003</t>
  </si>
  <si>
    <t>Depression, Mental -- Encyclopedias. ; Mental illness.</t>
  </si>
  <si>
    <t>The Handbook of Pidgin and Creole Studies</t>
  </si>
  <si>
    <t>Blackwell Handbooks in Linguistics Ser.</t>
  </si>
  <si>
    <t>Kouwenberg, Silvia;Singler, John Victor</t>
  </si>
  <si>
    <t>Language/Linguistics</t>
  </si>
  <si>
    <t>Pidgin languages. ; Creole dialects.</t>
  </si>
  <si>
    <t>A Companion to Ovid</t>
  </si>
  <si>
    <t>Knox, Peter E.</t>
  </si>
  <si>
    <t>871/.01</t>
  </si>
  <si>
    <t>Ovid, -- 43 B.C.-17 or 18 A.D. -- Criticism and interpretation. ; Epistolary poetry, Latin -- History and criticism. ; Didactic poetry, Latin -- History and criticism. ; Elegiac poetry, Latin -- History and criticism. ; Mythology, Classical, in literature. ; Love in literature. ; Rome -- In literature.</t>
  </si>
  <si>
    <t>The Encyclopedia of Positive Psychology</t>
  </si>
  <si>
    <t>Lopez, Shane J.;Lopez, Shane J.</t>
  </si>
  <si>
    <t>Psychology</t>
  </si>
  <si>
    <t>150.19/8</t>
  </si>
  <si>
    <t>Positive psychology -- Encyclopedias. ; Psychology -- Encyclopedias.</t>
  </si>
  <si>
    <t>Personal Recovery and Mental Illness : A Guide for Mental Health Professionals</t>
  </si>
  <si>
    <t>Values-Based Practice</t>
  </si>
  <si>
    <t>Slade, Mike</t>
  </si>
  <si>
    <t>Health; Social Science; Medicine</t>
  </si>
  <si>
    <t>Mental Disorders - rehabilitation</t>
  </si>
  <si>
    <t>The SAGE Dictionary of Sports Studies</t>
  </si>
  <si>
    <t>Malcolm, Dominic</t>
  </si>
  <si>
    <t>Sport &amp;amp; Recreation; Social Science</t>
  </si>
  <si>
    <t>Sports - Sociological aspects</t>
  </si>
  <si>
    <t>Tools for Teaching</t>
  </si>
  <si>
    <t>Davis, Barbara Gross</t>
  </si>
  <si>
    <t>Education</t>
  </si>
  <si>
    <t>College teaching -- United States -- Handbooks, manuals, etc. ; Classroom management -- United States -- Handbooks, manuals, etc. ; Curriculum planning -- United States -- Handbooks, manuals, etc.</t>
  </si>
  <si>
    <t>A Probability and Statistics Companion</t>
  </si>
  <si>
    <t>Kinney, John J.</t>
  </si>
  <si>
    <t>Probabilities. ; Probabilistic number theory.</t>
  </si>
  <si>
    <t>The Corporate Culture Survival Guide</t>
  </si>
  <si>
    <t>J-B Warren Bennis Ser.</t>
  </si>
  <si>
    <t>Schein, Edgar H.</t>
  </si>
  <si>
    <t>658.4/06</t>
  </si>
  <si>
    <t>Corporate culture. ; Culture. ; Organizational behavior.</t>
  </si>
  <si>
    <t>The Handbook of East Asian Psycholinguistics: Volume 3, Korean</t>
  </si>
  <si>
    <t>Lee, Chungmin;Simpson, Greg B.;Kim, Youngjin;Li, Ping</t>
  </si>
  <si>
    <t>Psycholinguistics -- East Asia. ; Linguistics -- East Asia.</t>
  </si>
  <si>
    <t>Mathematics for Physics : A Guided Tour for Graduate Students</t>
  </si>
  <si>
    <t>Stone, Michael;Goldbart, Paul</t>
  </si>
  <si>
    <t>Science; Science: Physics</t>
  </si>
  <si>
    <t>Mathematical physics</t>
  </si>
  <si>
    <t>The Cambridge Handbook of Personality Psychology</t>
  </si>
  <si>
    <t>Corr, Philip J.;Matthews, Gerald</t>
  </si>
  <si>
    <t>Canadian wit and humor. ; Canada -- Politics and government -- Humor.</t>
  </si>
  <si>
    <t>Handbook of Psychology of Investigative Interviewing : Current Developments and Future Directions</t>
  </si>
  <si>
    <t xml:space="preserve">Bull, Ray;Valentine, Tim;Williamson, Tom;Williamson, Dr Tom </t>
  </si>
  <si>
    <t>363.25/4019</t>
  </si>
  <si>
    <t>Interviewing in law enforcement -- Psychological aspects. ; Police questioning -- Psychological aspects. ; Criminal investigation -- Psychological aspects.</t>
  </si>
  <si>
    <t>The Handbook of Language Teaching</t>
  </si>
  <si>
    <t>Long, Michael H.;Doughty, Catherine J.</t>
  </si>
  <si>
    <t>Language and languages -- Study and teaching -- Handbooks, manuals, etc. ; Second language acquisition -- Handbooks, manuals, etc.</t>
  </si>
  <si>
    <t>Encyclopedia of Ecology and Environmental Management</t>
  </si>
  <si>
    <t>Environmental Studies</t>
  </si>
  <si>
    <t>Environmental management -- Encyclopedias. ; Ecology -- Encyclopedias.</t>
  </si>
  <si>
    <t>Wiley Guide to Chemical Incompatibilities</t>
  </si>
  <si>
    <t>Pohanish, Richard P.;Greene, Stanley A.</t>
  </si>
  <si>
    <t>Engineering: General; Engineering: Chemical; Engineering</t>
  </si>
  <si>
    <t>660/.2804</t>
  </si>
  <si>
    <t>Hazardous substances -- Safety measures -- Handbooks, manuals, etc. ; Chemicals -- Safety measures -- Handbooks, manuals, etc.</t>
  </si>
  <si>
    <t>A Companion to American Military History : 2 Volume Set</t>
  </si>
  <si>
    <t>Bradford, James C.;Eberwein Robert</t>
  </si>
  <si>
    <t>Military Science; History</t>
  </si>
  <si>
    <t>Military art and science -- United States -- History. ; United States -- History, Military.</t>
  </si>
  <si>
    <t>The Cambridge Dictionary of Psychology</t>
  </si>
  <si>
    <t>Matsumoto, David</t>
  </si>
  <si>
    <t>Manual of Intrauterine Insemination and Ovulation Induction</t>
  </si>
  <si>
    <t>Dickey, Richard P.;Brinsden, Peter R.;Pyrzak, Roman</t>
  </si>
  <si>
    <t>Ovulation Induction - methods</t>
  </si>
  <si>
    <t>Medication Safety : An Essential Guide</t>
  </si>
  <si>
    <t>Courtenay, Molly;Griffiths, Matt</t>
  </si>
  <si>
    <t>Pharmacy; Medicine</t>
  </si>
  <si>
    <t>Drugs - Prescribing - Safety measures</t>
  </si>
  <si>
    <t>The Cambridge Introduction to Postmodern Fiction</t>
  </si>
  <si>
    <t>Nicol, Bran</t>
  </si>
  <si>
    <t>Fiction -- 20th century -- History and criticism. ; Postmodernism (Literature)</t>
  </si>
  <si>
    <t>Handbook of Women's Health</t>
  </si>
  <si>
    <t>Rosenfeld, Jo Ann</t>
  </si>
  <si>
    <t>Health; Medicine</t>
  </si>
  <si>
    <t>613/.04244</t>
  </si>
  <si>
    <t>Women - Health and hygiene</t>
  </si>
  <si>
    <t>The SAGE Companion to the City</t>
  </si>
  <si>
    <t>Hall, Timothy;Hubbard, Phil;Short, John Rennie</t>
  </si>
  <si>
    <t>Urban geography</t>
  </si>
  <si>
    <t>Arabic-English Dictionary of Qur'anic Usage : The Near and Middle East Arabic-English Dictionary of Qur'anic Usage</t>
  </si>
  <si>
    <t>BRILL</t>
  </si>
  <si>
    <t>Handbook of Oriental Studies. Section 1 the near and Middle East Ser.</t>
  </si>
  <si>
    <t>Badawi, Elsaid;Haleem, Muhammed Abdel</t>
  </si>
  <si>
    <t>Koran -- Dictionaries. ; Arabic language -- Dictionaries -- English.</t>
  </si>
  <si>
    <t>Fifty Years of Philosophy of Religion : A Select Bibliography, 1955-2005</t>
  </si>
  <si>
    <t>Sanders, Andy F.;Ridder, Kristof de</t>
  </si>
  <si>
    <t>General Works/Reference</t>
  </si>
  <si>
    <t>Religion -- Philosophy -- Bibliography.</t>
  </si>
  <si>
    <t>Critical Companion to Contemporary Marxism : Critical Companion to Contemporary Marxism</t>
  </si>
  <si>
    <t>Historical Materialism Book Ser.</t>
  </si>
  <si>
    <t>Bidet, Jacques;Kouvélakis, Eustache;Elliott, Gregory</t>
  </si>
  <si>
    <t>Social Science; Economics</t>
  </si>
  <si>
    <t>Socialism. ; Communism.</t>
  </si>
  <si>
    <t>The Carian Language : The Near and Middle East Carian Language</t>
  </si>
  <si>
    <t>Adiego, Ignacio J.;Konuk, Koray</t>
  </si>
  <si>
    <t>Carian language. ; Carian language -- Writing. ; Inscriptions, Carian -- Egypt. ; Inscriptions, Carian -- Turkey -- Caria.</t>
  </si>
  <si>
    <t>Lexicon of Human Rights : Les Définitions des Droits de l'Homme</t>
  </si>
  <si>
    <t>Viale, Cédric;Viale, Cedric</t>
  </si>
  <si>
    <t>Human rights -- Dictionaries.</t>
  </si>
  <si>
    <t>The Handbook of Career Advising</t>
  </si>
  <si>
    <t>Hughey, Kenneth F.;Nelson, Dorothy;Damminger, Joanne K.;McCalla-Wriggins, Betsy ;McCalla-Wriggins, Betsy</t>
  </si>
  <si>
    <t>378.1/9425</t>
  </si>
  <si>
    <t>Counseling in higher education -- United States. ; Vocational guidance -- United States. ; Career development -- United States. ; College students -- Employment -- United States.</t>
  </si>
  <si>
    <t>Handbook for Developing Emotional and Social Intelligence : Best Practices, Case Studies, and Strategies</t>
  </si>
  <si>
    <t>Center for Creative Leadership</t>
  </si>
  <si>
    <t>Hughes, Marcia;Thompson, Henry L.;Terrell, James Bradford</t>
  </si>
  <si>
    <t>Emotional intelligence. ; Social intelligence. ; Leadership. ; Executive coaching.</t>
  </si>
  <si>
    <t>The Essential College Professor : A Practical Guide to an Academic Career</t>
  </si>
  <si>
    <t>Buller, Jeffrey L.</t>
  </si>
  <si>
    <t>378.1/202373</t>
  </si>
  <si>
    <t>College teachers -- United States. ; Universities and colleges -- United States -- Faculty. ; College teaching -- Vocational guidance -- United States.</t>
  </si>
  <si>
    <t>The CompleteLandlord. com Ultimate Property Management Handbook : Ultimate Property Management Handbook</t>
  </si>
  <si>
    <t>The CompleteLandlord.com</t>
  </si>
  <si>
    <t>Lederer, William A.</t>
  </si>
  <si>
    <t>Economics; Business/Management</t>
  </si>
  <si>
    <t>333.33/8068;333.33068</t>
  </si>
  <si>
    <t>Real estate management. ; Rental housing -- Management. ; Landlord and tenant. ; Real estate investment.</t>
  </si>
  <si>
    <t>Building Law Encyclopaedia</t>
  </si>
  <si>
    <t>Chappell, David;Cowlin, Michael;Dunn, Michael H.</t>
  </si>
  <si>
    <t>Law; Literature</t>
  </si>
  <si>
    <t>Building laws -- England -- Encyclopedias. ; Building laws -- Wales -- Encyclopedias.</t>
  </si>
  <si>
    <t>International Handbook of Work and Health Psychology</t>
  </si>
  <si>
    <t>Quick, James Campbell;Schabracq, Marc J.;Cooper, Cary</t>
  </si>
  <si>
    <t>Psychology; Business/Management</t>
  </si>
  <si>
    <t>Psychology, Industrial. ; Job stress. ; Employees -- Mental health. ; Stress management. ; Employees -- Counseling of.</t>
  </si>
  <si>
    <t>A Companion to Latin American Literature and Culture</t>
  </si>
  <si>
    <t>Castro-Klaren, Sara;Castro-Klaren, Sara</t>
  </si>
  <si>
    <t>860.9/98</t>
  </si>
  <si>
    <t>Latin American literature -- History and criticism. ; Latin America -- Intellectual life. ; Latin America -- Social life and customs.</t>
  </si>
  <si>
    <t>Child : An Encyclopedic Companion</t>
  </si>
  <si>
    <t>University of Chicago Press</t>
  </si>
  <si>
    <t>Shweder, Richard A.;Bidell, Thomas R.;Dailey, Anne C.</t>
  </si>
  <si>
    <t>305.23;305.2303</t>
  </si>
  <si>
    <t>Children -- Encyclopedias. ; Child development -- Encyclopedias.</t>
  </si>
  <si>
    <t>Law and the Humanities : An Introduction</t>
  </si>
  <si>
    <t>Sarat, Austin;Anderson, Matthew;Frank, Cathrine O.</t>
  </si>
  <si>
    <t>Law and the humanities</t>
  </si>
  <si>
    <t>A Handbook for the Study of Mental Health : Social Contexts, Theories, and Systems</t>
  </si>
  <si>
    <t>Scheid, Teresa L.;Brown, Tony N.</t>
  </si>
  <si>
    <t>Psychology; Social Science; Health; Medicine</t>
  </si>
  <si>
    <t>Social psychiatry</t>
  </si>
  <si>
    <t>The Handbook of Global Outsourcing and Offshoring</t>
  </si>
  <si>
    <t>Oshri, I.;Kotlarsky, J.;Willcocks, L.</t>
  </si>
  <si>
    <t>658.4/058</t>
  </si>
  <si>
    <t>Management science</t>
  </si>
  <si>
    <t>A Companion to Epistemology</t>
  </si>
  <si>
    <t>Dancy, Jonathan;Sosa, Ernest;Steup, Matthias</t>
  </si>
  <si>
    <t>Knowledge, Theory of. ; Philosophy.</t>
  </si>
  <si>
    <t>Handbook of Personality and Self-Regulation</t>
  </si>
  <si>
    <t>Hoyle, Rick H.</t>
  </si>
  <si>
    <t>Personality development</t>
  </si>
  <si>
    <t>Business Continuity and BS25999 : A Combined Glossary</t>
  </si>
  <si>
    <t>IT Governance Publishing</t>
  </si>
  <si>
    <t>Calder, Alan</t>
  </si>
  <si>
    <t>Ciencias sociales -- Artículos -- Publicaciones periódicas. ; Social sciences -- Periodicals. ; Articulos -- Publicaciones periodicas ; Libros electronicos.</t>
  </si>
  <si>
    <t>A Companion to Philosophy of Religion</t>
  </si>
  <si>
    <t>Taliaferro, Charles;Draper, Paul;Quinn, Philip L.</t>
  </si>
  <si>
    <t>Religion -- Philosophy. ; Philosophy and religion.</t>
  </si>
  <si>
    <t>A Companion to Crime Fiction</t>
  </si>
  <si>
    <t>Rzepka, Charles J.;Horsley, Lee</t>
  </si>
  <si>
    <t>Detective and mystery stories -- History and criticism. ; Crime in literature. ; Detective and mystery films -- History and criticism.</t>
  </si>
  <si>
    <t>The Blackwell Companion to the Economics of Housing : The Housing Wealth of Nations</t>
  </si>
  <si>
    <t>Blackwell Companions to Contemporary Economics Ser.</t>
  </si>
  <si>
    <t>Smith, Susan J.;Searle, Beverley A.</t>
  </si>
  <si>
    <t>Business/Management; Economics</t>
  </si>
  <si>
    <t>Housing. ; Housing -- Finance.</t>
  </si>
  <si>
    <t>The Blackwell Companion to the New Testament</t>
  </si>
  <si>
    <t>Wiley Blackwell Companions to Religion Ser.</t>
  </si>
  <si>
    <t>Aune, David E.</t>
  </si>
  <si>
    <t>Bible. -- N.T. -- Introductions. ; Theology.</t>
  </si>
  <si>
    <t>A Companion to Tudor Literature</t>
  </si>
  <si>
    <t>Cartwright, Kent</t>
  </si>
  <si>
    <t>English literature -- Early modern, 1500-1700 -- History and criticism. ; Great Britain -- Civilization -- 16th century.</t>
  </si>
  <si>
    <t>A Companion to Twentieth-Century United States Fiction</t>
  </si>
  <si>
    <t>Seed, David</t>
  </si>
  <si>
    <t>American fiction -- 20th century -- History and criticism -- Handbooks, manuals, etc. ; Literature and society -- United States -- History -- 20th century -- Handbooks, manuals, etc.</t>
  </si>
  <si>
    <t>Environmental Sciences : A Student's Companion</t>
  </si>
  <si>
    <t>Gregory, Kenneth J.;Simmons, Ian;Brazel, Anthony;Day, John W;Keller, Edward A;Yanez-Arancibia, Alejandro;Sylvester, Arthur G</t>
  </si>
  <si>
    <t>Environmental Studies; Economics</t>
  </si>
  <si>
    <t>Environmental sciences</t>
  </si>
  <si>
    <t>2010 Britannica Student Encyclopedia</t>
  </si>
  <si>
    <t>Britannica Student, 16</t>
  </si>
  <si>
    <t>Encyclopaedia Britannica Inc.</t>
  </si>
  <si>
    <t>Children's encyclopedias and dictionaries. ; English language -- Encyclopedias.</t>
  </si>
  <si>
    <t>The Palgrave Handbook of Childhood Studies</t>
  </si>
  <si>
    <t>Qvortrup, J.;Corsaro, W.;Honig, M.</t>
  </si>
  <si>
    <t>Social work</t>
  </si>
  <si>
    <t>A Companion to Horace</t>
  </si>
  <si>
    <t>Davis, Gregson</t>
  </si>
  <si>
    <t>Literature; Geography/Travel</t>
  </si>
  <si>
    <t>Horace. ; Horace -- Criticism and interpretation. ; Poets, Latin -- Biography. ; Epistolary poetry, Latin -- History and criticism. ; Laudatory poetry, Latin -- History and criticism. ; Verse satire, Latin -- History and criticism. ; Rome -- In literature.</t>
  </si>
  <si>
    <t>A Companion to Byzantium</t>
  </si>
  <si>
    <t>James, Liz</t>
  </si>
  <si>
    <t>949.5/02</t>
  </si>
  <si>
    <t>Byzantine Empire - Civilization</t>
  </si>
  <si>
    <t>Bullying Prevention for Schools : A Step-By-Step Guide to Implementing a Successful Anti-Bullying Program</t>
  </si>
  <si>
    <t>Beane, Allan L.</t>
  </si>
  <si>
    <t>371.5/8</t>
  </si>
  <si>
    <t>Bullying in schools -- Prevention -- Handbooks, manuals, etc. ; Bullying -- Prevention -- Handbooks, manuals, etc. ; School violence -- Prevention -- Handbooks, manuals, etc.</t>
  </si>
  <si>
    <t>A Companion to the American Short Story</t>
  </si>
  <si>
    <t>Bendixen, Alfred;Nagel, James</t>
  </si>
  <si>
    <t>813/.0103</t>
  </si>
  <si>
    <t>Short stories, American -- History and criticism. ; American literature.</t>
  </si>
  <si>
    <t>A New Companion to English Renaissance Literature and Culture</t>
  </si>
  <si>
    <t>Hattaway, Michael</t>
  </si>
  <si>
    <t>English literature -- Early modern, 1500-1700 -- History and criticism -- Handbooks, manuals, etc. ; Renaissance -- England -- Handbooks, manuals, etc. ; England -- Civilization -- 16th century -- Handbooks, manuals, etc. ; England -- Civilization -- 17th century -- Handbooks, manuals, etc.</t>
  </si>
  <si>
    <t>A Companion to American Literature and Culture</t>
  </si>
  <si>
    <t>Lauter, Paul</t>
  </si>
  <si>
    <t>American literature -- History and criticism. ; Popular culture -- United States.</t>
  </si>
  <si>
    <t>A Concise Companion to American Studies</t>
  </si>
  <si>
    <t>Rowe, John Carlos</t>
  </si>
  <si>
    <t>National characteristics, American -- History. ; United States -- Study and teaching. ; United States -- Civilization. ; United States -- Historiography.</t>
  </si>
  <si>
    <t>Ecology : Ecology</t>
  </si>
  <si>
    <t>Britannica Illustrated Science Library</t>
  </si>
  <si>
    <t xml:space="preserve">Encyclopaedia Britannica Inc;Inc, Encyclopaedia Britannica </t>
  </si>
  <si>
    <t>Science; Science: Biology/Natural History</t>
  </si>
  <si>
    <t>Ecology -- Encyclopedias. ; Biology -- Encyclopedias.</t>
  </si>
  <si>
    <t>Environment : The Environment</t>
  </si>
  <si>
    <t>Ecology -- Encyclopedias. ; Environmental sciences -- Encyclopedias.</t>
  </si>
  <si>
    <t>Essentials of Response to Intervention</t>
  </si>
  <si>
    <t>Essentials of Psychological Assessment Ser.</t>
  </si>
  <si>
    <t xml:space="preserve">VanDerHeyden, Amanda M.;Burns, Matthew K.;Kaufman, Alan S. ;Kaufman, Nadeen L. </t>
  </si>
  <si>
    <t>379.1/58</t>
  </si>
  <si>
    <t>Educational evaluation -- United States. ; Psychological tests for children -- United States. ; Educational tests and measurements -- United States.</t>
  </si>
  <si>
    <t>Sociology for Dummies</t>
  </si>
  <si>
    <t>Gabler, Jay</t>
  </si>
  <si>
    <t>Sociology -- Handbooks, manuals, etc. ; Sociology -- History -- Handbooks, manuals, etc.</t>
  </si>
  <si>
    <t>Handbook of Jealousy : Theory, Research, and Multidisciplinary Approaches</t>
  </si>
  <si>
    <t>Hart, Sybil L.;Legerstee, Maria</t>
  </si>
  <si>
    <t>152.4/8</t>
  </si>
  <si>
    <t>Jealousy. ; Envy.</t>
  </si>
  <si>
    <t>A Companion to the Philosophy of Action</t>
  </si>
  <si>
    <t>Sandis, Constantine;O'Connor, Timothy</t>
  </si>
  <si>
    <t>128/.4</t>
  </si>
  <si>
    <t>Act (Philosophy) ; Philosophy.</t>
  </si>
  <si>
    <t>The New Blackwell Companion to the Sociology of Religion</t>
  </si>
  <si>
    <t>Turner, Bryan S.</t>
  </si>
  <si>
    <t>Social Science; Religion</t>
  </si>
  <si>
    <t>Religion and sociology. ; Religion and social status.</t>
  </si>
  <si>
    <t>The Obstetric Hematology Manual</t>
  </si>
  <si>
    <t>Pavord, Sue;Hunt, Beverley</t>
  </si>
  <si>
    <t>Obstetrics -- Handbooks, manuals, etc. ; Hematology -- Handbooks, manuals, etc.</t>
  </si>
  <si>
    <t>Evaluating Clinical and Public Health Interventions : A Practical Guide to Study Design and Statistics</t>
  </si>
  <si>
    <t>Katz, Mitchell H.</t>
  </si>
  <si>
    <t>Social Science; Health</t>
  </si>
  <si>
    <t>Medical care -- Evaluation -- Methodology. ; Health promotion -- Evaluation -- Methodology.</t>
  </si>
  <si>
    <t>A Practical Guide to International Philanthropy</t>
  </si>
  <si>
    <t>Moore, Jonathon R.</t>
  </si>
  <si>
    <t>Charitable uses, trusts, and foundations - United States</t>
  </si>
  <si>
    <t>An Introduction to Kant's Moral Philosophy</t>
  </si>
  <si>
    <t>Uleman, Jennifer K.</t>
  </si>
  <si>
    <t>Kant, Immanuel</t>
  </si>
  <si>
    <t>Cormac Mccarthy : A Literary Companion</t>
  </si>
  <si>
    <t>McFarland &amp; Company, Incorporated Publishers</t>
  </si>
  <si>
    <t>McFarland Literary Companions Ser.</t>
  </si>
  <si>
    <t>Hage, Erik</t>
  </si>
  <si>
    <t>813/.54</t>
  </si>
  <si>
    <t>McCarthy, Cormac</t>
  </si>
  <si>
    <t>A/V A to Z : An Encyclopedic Dictionary of Media, Entertainment and Other Audiovisual Terms</t>
  </si>
  <si>
    <t>Kroon, Richard W.</t>
  </si>
  <si>
    <t>Fine Arts; Social Science</t>
  </si>
  <si>
    <t>Mass media -- Dictionaries. ; Communication -- Dictionaries.</t>
  </si>
  <si>
    <t>Encyclopedia of Reincarnation and Karma</t>
  </si>
  <si>
    <t>McClelland, Norman C.</t>
  </si>
  <si>
    <t>Karma</t>
  </si>
  <si>
    <t>Essentials of Forensic Psychological Assessment</t>
  </si>
  <si>
    <t>Ackerman, Marc J.;Ackerman, Ph.D., Marc J</t>
  </si>
  <si>
    <t>Medicine; Health; Social Science</t>
  </si>
  <si>
    <t>614/.15</t>
  </si>
  <si>
    <t>Forensic psychology. ; Psychology, Applied.</t>
  </si>
  <si>
    <t>Genetics for Dummies</t>
  </si>
  <si>
    <t>For dummies</t>
  </si>
  <si>
    <t>Robinson, Tara Rodden</t>
  </si>
  <si>
    <t>Science: Biology/Natural History; Medicine; Science</t>
  </si>
  <si>
    <t>Medical genetics -- Handbooks, manuals, etc. ; Human genetics -- Handbooks, manuals, etc.</t>
  </si>
  <si>
    <t>The Blackwell Companion to Religion in America</t>
  </si>
  <si>
    <t>Goff, Philip</t>
  </si>
  <si>
    <t>Religion. ; United States -- Religion.</t>
  </si>
  <si>
    <t>A Companion to Biological Anthropology</t>
  </si>
  <si>
    <t>Wiley Blackwell Companions to Anthropology Ser.</t>
  </si>
  <si>
    <t>Larsen, Clark Spencer</t>
  </si>
  <si>
    <t>Science; Social Science; Science: Biology/Natural History</t>
  </si>
  <si>
    <t>Physical anthropology. ; Human biology.</t>
  </si>
  <si>
    <t>The Cambridge Handbook of Forensic Psychology</t>
  </si>
  <si>
    <t>Brown, Jennifer M.;Campbell, Elizabeth A.</t>
  </si>
  <si>
    <t>Health; Medicine; Social Science</t>
  </si>
  <si>
    <t>Forensic psychology. ; Forensic sciences.</t>
  </si>
  <si>
    <t>Spanish Essentials for Dummies</t>
  </si>
  <si>
    <t xml:space="preserve">Stein, Gail;Kraynak, Mary;Kraynak, </t>
  </si>
  <si>
    <t>Spanish language -- Textbooks for foreign speakers -- English.</t>
  </si>
  <si>
    <t>A Dictionary of Cultural and Critical Theory</t>
  </si>
  <si>
    <t>Payne, Michael;Barbera, Jessica Rae</t>
  </si>
  <si>
    <t>Culture -- Dictionaries. ; Critical theory -- Dictionaries. ; Electronic books.</t>
  </si>
  <si>
    <t>The Handbook of Race and Adult Education : A Resource for Dialogue on Racism</t>
  </si>
  <si>
    <t>Sheared, Vanessa;Colin, Scipio A. J., III;Peterson, Elizabeth;Brookfield, Stephen D.;Cunningham, Phyllis M.;Johnson-Bailey, Juanita;Johnson-Bailey, Juanita;Colin, Scipio A. J.</t>
  </si>
  <si>
    <t>374/.1829</t>
  </si>
  <si>
    <t>Racism in education -- Handbooks, manuals, etc. ; Discrimination in education -- Handbooks, manuals, etc. ; Adult education -- Handbooks, manuals, etc.</t>
  </si>
  <si>
    <t>The Shaping School Culture Fieldbook</t>
  </si>
  <si>
    <t>Peterson, Kent D.;Deal, Terrence E.</t>
  </si>
  <si>
    <t>Educational leadership -- Handbooks, manuals, etc. ; School environment -- Handbooks, manuals, etc. ; Educational change -- Handbooks, manuals, etc.</t>
  </si>
  <si>
    <t>Business Innovation for Dummies</t>
  </si>
  <si>
    <t>Hiam, Alexander</t>
  </si>
  <si>
    <t>Creative ability in business -- Handbooks, manuals, etc. ; Success in business -- Handbooks, manuals, etc.</t>
  </si>
  <si>
    <t>Headache</t>
  </si>
  <si>
    <t xml:space="preserve">Schwedt, Todd J.;Gladstone, Jonathan P.;Purdy, R. Allan;Dodick, David W. </t>
  </si>
  <si>
    <t>Headache -- Handbooks, manuals, etc. ; Internal medicine.</t>
  </si>
  <si>
    <t>Wittgenstein's Philosophical Investigations : A Critical Guide</t>
  </si>
  <si>
    <t>Cambridge Critical Guides</t>
  </si>
  <si>
    <t>Ahmed, Arif</t>
  </si>
  <si>
    <t>Wittgenstein, Ludwig, -- 1889-1951. -- Philosophische Untersuchungen. ; Language and languages -- Philosophy. ; Philosophy.</t>
  </si>
  <si>
    <t>An Introduction to Ethics</t>
  </si>
  <si>
    <t>Cambridge Introductions to Philosophy</t>
  </si>
  <si>
    <t>Deigh, John</t>
  </si>
  <si>
    <t>Ethics</t>
  </si>
  <si>
    <t>Anxiety Disorders in Adults a Clinical Guide</t>
  </si>
  <si>
    <t>Oxford University Press, Incorporated</t>
  </si>
  <si>
    <t>Starcevic, ,, Vladan</t>
  </si>
  <si>
    <t>616.85/22</t>
  </si>
  <si>
    <t>Anxiety. ; Phobias.</t>
  </si>
  <si>
    <t>ISO27000 and Information Security : A Combined Glossary</t>
  </si>
  <si>
    <t>IT Governance Ltd</t>
  </si>
  <si>
    <t>Calder, Alan;Watkins, Steve</t>
  </si>
  <si>
    <t>Computer Science/IT</t>
  </si>
  <si>
    <t>Nursing diagnosis -- Handbooks, manuals, etc. ; Nursing care plans -- Handbooks, manuals, etc.</t>
  </si>
  <si>
    <t>Dictionary of Sports and Games Terminology</t>
  </si>
  <si>
    <t>Room, Adrian</t>
  </si>
  <si>
    <t>Sports -- Terminology. ; Games -- Terminology.</t>
  </si>
  <si>
    <t>International Libel and Privacy Handbook : A Global Reference for Journalists, Publishers, Webmasters, and Lawyers</t>
  </si>
  <si>
    <t>Bloomberg Financial Ser.</t>
  </si>
  <si>
    <t>Glasser, Charles J., Jr.;Winkler, Matthew</t>
  </si>
  <si>
    <t>346.03/4</t>
  </si>
  <si>
    <t>Libel and slander. ; Privacy, Right of. ; Freedom of speech. ; Mass media -- Law and legislation.</t>
  </si>
  <si>
    <t>Handbook of Iron Overload Disorders</t>
  </si>
  <si>
    <t xml:space="preserve">Barton, James C.;Edwards, Corwin Q.;Phatak, Pradyumna D.;Britton, Robert S. ;Bacon, Bruce R. </t>
  </si>
  <si>
    <t>Iron -- Metabolism -- Disorders -- Handbooks, manuals, etc. ; Metabolism -- Disorders -- Handbooks, manuals, etc.</t>
  </si>
  <si>
    <t>An Introduction to Plant Structure and Development : Plant Anatomy for the Twenty-First Century</t>
  </si>
  <si>
    <t>Beck, Charles B.</t>
  </si>
  <si>
    <t>Science; Science: Botany; Science: Biology/Natural History</t>
  </si>
  <si>
    <t>Plant anatomy. ; Growth (Plants)</t>
  </si>
  <si>
    <t>Handbook of Fetal Medicine</t>
  </si>
  <si>
    <t>Kumar, Sailesh</t>
  </si>
  <si>
    <t>Perinatology -- Handbooks, manuals, etc. ; Fetus -- Diseases -- Handbooks, manuals, etc.</t>
  </si>
  <si>
    <t>Working with Deaf People : A Handbook for Healthcare Professionals</t>
  </si>
  <si>
    <t>Middleton, Anna</t>
  </si>
  <si>
    <t>Social Science; Medicine</t>
  </si>
  <si>
    <t>Medical personnel and patient -- Handbooks, manuals, etc. ; Deaf -- Medical care -- Handbooks, manuals, etc.</t>
  </si>
  <si>
    <t>Encyclopedia of Vampire Mythology</t>
  </si>
  <si>
    <t>Bane, Theresa</t>
  </si>
  <si>
    <t>398.21/003</t>
  </si>
  <si>
    <t>Vampires</t>
  </si>
  <si>
    <t>Dictionary of Erotic Artists : Painters, Sculptors, Printmakers, Graphic Designers, and Illustrators</t>
  </si>
  <si>
    <t>Burt, Eugene C.</t>
  </si>
  <si>
    <t>704.9/4280922 B</t>
  </si>
  <si>
    <t>Erotic art</t>
  </si>
  <si>
    <t>A Companion to Latin American Philosophy</t>
  </si>
  <si>
    <t xml:space="preserve">Nuccetelli, Susana;Schutte, Ofelia;Bueno, Otávio;Bueno, Otávio;Schutte, Ofelia;Bueno, Otávio;Bueno, Otá Vio </t>
  </si>
  <si>
    <t>Philosophy, Latin American. ; Philosophy -- Latin America.</t>
  </si>
  <si>
    <t>Handbook of Multicultural Counseling Competencies</t>
  </si>
  <si>
    <t xml:space="preserve">Erickson Cornish, Jennifer A.;Schreier, Barry A.;Nadkarni, Lavita I.;Metzger, Lynett Henderson ;Rodolfa, Emil R. ;Rodolfa, Emil R </t>
  </si>
  <si>
    <t>158/.308</t>
  </si>
  <si>
    <t>Cross-cultural counseling. ; Multiculturalism. ; Minorities -- Counseling of.</t>
  </si>
  <si>
    <t>The World from 1450 To 1700</t>
  </si>
  <si>
    <t>Oxford University Press USA - OSO</t>
  </si>
  <si>
    <t>New Oxford World History Ser.</t>
  </si>
  <si>
    <t>Wills, John E.</t>
  </si>
  <si>
    <t>History; Geography/Travel</t>
  </si>
  <si>
    <t>History, Modern. ; Europe -- History.</t>
  </si>
  <si>
    <t>The Handbook of Leadership and Professional Learning Communities</t>
  </si>
  <si>
    <t>Palgrave Macmillan US</t>
  </si>
  <si>
    <t>Mullen, C.</t>
  </si>
  <si>
    <t>Education; Social Science</t>
  </si>
  <si>
    <t>Educational leadership -- Handbooks, manuals, etc. ; School management and organization -- Handbooks, manuals, etc. ; Teachers -- Professional relationships -- Handbooks, manuals, etc. ; Teachers -- In-service training -- Handbooks, manuals, etc. ; Professional learning communities -- Handbooks, manuals, etc.</t>
  </si>
  <si>
    <t>Black American Biographies : The Journey of Achievement</t>
  </si>
  <si>
    <t>Rosen Publishing Group</t>
  </si>
  <si>
    <t>African American History and Culture Ser.</t>
  </si>
  <si>
    <t>Wallenfeldt, Jeff;Britannica Educational Publishing Staff</t>
  </si>
  <si>
    <t>History; Juvenile Literature</t>
  </si>
  <si>
    <t>920.0092/96073</t>
  </si>
  <si>
    <t>African Americans -- Biography -- Dictionaries, Juvenile. ; Ethnology -- United States -- Dictionaries, Juvenile.</t>
  </si>
  <si>
    <t>The Cambridge Introduction to Margaret Atwood</t>
  </si>
  <si>
    <t>Macpherson, Heidi Slettedahl</t>
  </si>
  <si>
    <t>Atwood, Margaret, -- 1939- -- Criticism and interpretation. ; Authors, Canadian.</t>
  </si>
  <si>
    <t>The Cambridge Introduction to William Wordsworth</t>
  </si>
  <si>
    <t>Mason, Emma</t>
  </si>
  <si>
    <t>Wordsworth, William, -- 1770-1850 -- Criticism and interpretation. ; Authors, English.</t>
  </si>
  <si>
    <t>Essential Tools for Management Consulting : Tools, Models and Approaches for Clients and Consultants</t>
  </si>
  <si>
    <t>Burtonshaw-Gunn, Simon;Salameh, Malik;Burtonshaw-Gunn, Simon</t>
  </si>
  <si>
    <t>Business consultants. ; Consulting firms -- Management.</t>
  </si>
  <si>
    <t>Essential Tools for Operations Management : Tools, Models and Approaches for Managers and Consultants</t>
  </si>
  <si>
    <t>Production management. ; Industrial management.</t>
  </si>
  <si>
    <t>The Essential Management Toolbox : Tools, Models and Notes for Managers and Consultants</t>
  </si>
  <si>
    <t>Burtonshaw-Gunn, Simon;Burtonshaw-Gunn, Simon</t>
  </si>
  <si>
    <t>Management</t>
  </si>
  <si>
    <t>Oxford American Handbook of Cardiology</t>
  </si>
  <si>
    <t>Oxford American Handbooks of Medicine Ser.</t>
  </si>
  <si>
    <t>Bender, Jeffrey;Russell, Kerry;Rosenfeld, Lynda;Chaudry, Sabeen</t>
  </si>
  <si>
    <t>Cardiovascular system -- Diseases -- Handbooks, manuals, etc. ; Cardiology -- Handbooks, manuals, etc.</t>
  </si>
  <si>
    <t>Dictionary of Pseudonyms : 13,000 Assumed Names and Their Origins</t>
  </si>
  <si>
    <t>General Works/Reference; History</t>
  </si>
  <si>
    <t>929.4/03</t>
  </si>
  <si>
    <t>Anonyms and pseudonyms</t>
  </si>
  <si>
    <t>The Caucasus : An Introduction</t>
  </si>
  <si>
    <t>de Waal, Thomas</t>
  </si>
  <si>
    <t>Soviet Union - Relations - Caucasus Region</t>
  </si>
  <si>
    <t>Clinical Manual of Emergency Pediatrics</t>
  </si>
  <si>
    <t>Crain, Ellen F.;Gershel, Jeffrey C.;Cunningham, Sandra J.</t>
  </si>
  <si>
    <t>Pediatric emergencies -- Handbooks, manuals, etc. ; Pediatrics -- Handbooks, manuals, etc.</t>
  </si>
  <si>
    <t>The Cambridge Introduction to the Old Norse-Icelandic Saga</t>
  </si>
  <si>
    <t>Clunies Ross, Margaret</t>
  </si>
  <si>
    <t>Sagas -- History and criticism. ; Old Norse literature -- History and criticism.</t>
  </si>
  <si>
    <t>The Subfertility Handbook : A Clinician's Guide</t>
  </si>
  <si>
    <t>Kovacs, Gab</t>
  </si>
  <si>
    <t>Infertility -- Handbooks, manuals, etc. ; Fertility, Human.</t>
  </si>
  <si>
    <t>The Cambridge Introduction to Chekhov</t>
  </si>
  <si>
    <t>Loehlin, James N.</t>
  </si>
  <si>
    <t>Literature; Fiction</t>
  </si>
  <si>
    <t>Chekhov, Anton Pavlovich, -- 1860-1904 -- Criticism and interpretation. ; Authors, Russian.</t>
  </si>
  <si>
    <t>The Cambridge Introduction to the Novel</t>
  </si>
  <si>
    <t>MacKay, Marina</t>
  </si>
  <si>
    <t>Fiction -- History and criticism.</t>
  </si>
  <si>
    <t>The Cambridge Introduction to Shakespeare's Poetry</t>
  </si>
  <si>
    <t>Schoenfeldt, Michael</t>
  </si>
  <si>
    <t>Shakespeare, William, -- 1564-1616 -- Poetic works. ; Shakespeare, William, -- 1564-1616. -- Sonnets. ; Narrative poetry, English -- History and criticism. ; Sonnets, English -- History and criticism.</t>
  </si>
  <si>
    <t>The Elementary / Middle School Counselor's Survival Guide</t>
  </si>
  <si>
    <t>J-B Ed: Survival Guides</t>
  </si>
  <si>
    <t>Schmidt, John J.</t>
  </si>
  <si>
    <t>Counseling in elementary education -- United States. ; Counseling in middle school education -- United States. ; Student counselors -- United States.</t>
  </si>
  <si>
    <t>A Dictionary of Confusable Phrases : More Than 10,000 Idioms and Collocations</t>
  </si>
  <si>
    <t>McFarland &amp; Company, Inc., Publishers</t>
  </si>
  <si>
    <t>Dolgopolov, Yuri</t>
  </si>
  <si>
    <t>423'.13</t>
  </si>
  <si>
    <t>English language -- Idioms -- Dictionaries. ; English language -- Usage -- Dictionaries.</t>
  </si>
  <si>
    <t>Manual of Inpatient Psychiatry</t>
  </si>
  <si>
    <t>Casher, Michael I.;Bess, Joshua D.</t>
  </si>
  <si>
    <t>Psychology; Medicine; Social Science; Health</t>
  </si>
  <si>
    <t>Medical assistants -- Handbooks, manuals, etc. ; Clinical medicine.</t>
  </si>
  <si>
    <t>Foundations of Psychiatric Sleep Medicine</t>
  </si>
  <si>
    <t>Winkelman, John W.;Plante, David T.</t>
  </si>
  <si>
    <t>Sleep disorders. ; Sleep disorders -- Psychological aspects. ; Psychiatry. ; Mental illness -- Complications.</t>
  </si>
  <si>
    <t>The Cambridge Introduction to Literature and the Environment</t>
  </si>
  <si>
    <t>Clark, Timothy</t>
  </si>
  <si>
    <t>Ecocriticism. ; Nature in literature.</t>
  </si>
  <si>
    <t>The Essential Guide to Effect Sizes : Statistical Power, Meta-Analysis, and the Interpretation of Research Results</t>
  </si>
  <si>
    <t>Ellis, Paul D.</t>
  </si>
  <si>
    <t>Mathematics; Science</t>
  </si>
  <si>
    <t>Research -- Statistical methods. ; Sampling (Statistics)</t>
  </si>
  <si>
    <t>Rats, Bats, and Xenarthrans</t>
  </si>
  <si>
    <t>The Britannica Guide to Predators and Prey Ser.</t>
  </si>
  <si>
    <t>Rafferty, John P.;Britannica Educational Publishing Staff</t>
  </si>
  <si>
    <t>Science; Science: Zoology</t>
  </si>
  <si>
    <t>Rats -- Juvenile literature. ; Bats -- Juvenile literature. ; Xenarthra -- Juvenile literature.</t>
  </si>
  <si>
    <t>Handbook of Stress Science : Biology, Psychology, and Health</t>
  </si>
  <si>
    <t>Contrada, Richard;Baum, Andrew</t>
  </si>
  <si>
    <t>616.9/8</t>
  </si>
  <si>
    <t>Stress (Physiology) -- Handbooks, manuals, etc. ; Stress (Psychology) -- Handbooks, manuals, etc.</t>
  </si>
  <si>
    <t>The Psychologist's Companion : A Guide to Writing Scientific Papers for Students and Researchers</t>
  </si>
  <si>
    <t>Sternberg, Robert J.;Sternberg, Karin</t>
  </si>
  <si>
    <t>Psychology; Literature</t>
  </si>
  <si>
    <t>Report writing. ; Psychological literature.</t>
  </si>
  <si>
    <t>An Introduction to Star Formation</t>
  </si>
  <si>
    <t>Ward-Thompson, Derek;Whitworth, Anthony P.;Whitworth, Anthony</t>
  </si>
  <si>
    <t>Stars -- Formation. ; Stars -- Evolution.</t>
  </si>
  <si>
    <t>Biomes and Ecosystems</t>
  </si>
  <si>
    <t>The Living Earth Ser.</t>
  </si>
  <si>
    <t xml:space="preserve">Rafferty, John P.;Britannica Educational Publishing Staff;Rafferty, John P </t>
  </si>
  <si>
    <t>Biotic communities -- Juvenile literature. ; Ecology -- Juvenile literature. ; Evolution (Biology) -- Juvenile literature.</t>
  </si>
  <si>
    <t>Carnivores : Meat-Eating Mammals</t>
  </si>
  <si>
    <t>Carnivora -- Juvenile literature. ; Mammals.</t>
  </si>
  <si>
    <t>Persian Gulf States : Kuwait, Qatar, Bahrain, Oman, and the United Arab Emirates</t>
  </si>
  <si>
    <t>Middle East: Region in Transition Ser.</t>
  </si>
  <si>
    <t>Etheredge, Laura S.;Britannica Educational Publishing Staff</t>
  </si>
  <si>
    <t>Persian Gulf States -- History. ; Persian Gulf States -- Encyclopedias.</t>
  </si>
  <si>
    <t>Primates</t>
  </si>
  <si>
    <t>Primates -- Juvenile literature. ; Mammals.</t>
  </si>
  <si>
    <t>Discipline Survival Guide for the Secondary Teacher</t>
  </si>
  <si>
    <t>Thompson, Julia G.</t>
  </si>
  <si>
    <t>373.1102/4</t>
  </si>
  <si>
    <t>Classroom management. ; Education, Secondary. ; Teacher effectiveness. ; Teacher-student relationships.</t>
  </si>
  <si>
    <t>Handbook of Sports Medicine and Science : The Paralympic Athlete</t>
  </si>
  <si>
    <t>Thompson, Walter R.;Vanlandewijck, Yves C.</t>
  </si>
  <si>
    <t>Paralympics. ; Athletes with disabilities. ; Athletes with disabilities -- Health and hygiene. ; Sports for people with disabilities.</t>
  </si>
  <si>
    <t>The Concise Encyclopedia of Sociology</t>
  </si>
  <si>
    <t>Ritzer, George;Ryan, J. Michael</t>
  </si>
  <si>
    <t>Sociology -- Encyclopedias. ; Social sciences -- Encyclopedias.</t>
  </si>
  <si>
    <t>A Companion to Ancient Macedonia</t>
  </si>
  <si>
    <t>Roisman, Joseph;Worthington, Ian</t>
  </si>
  <si>
    <t>938/.1</t>
  </si>
  <si>
    <t>Macedonia -- History -- To 168 B.C. ; Macedonia -- Civilization.</t>
  </si>
  <si>
    <t>The Encyclopedia of Eastern Orthodox Christianity</t>
  </si>
  <si>
    <t>McGuckin, John Anthony</t>
  </si>
  <si>
    <t>281/.503</t>
  </si>
  <si>
    <t>Orthodox Eastern Church -- Encyclopedias.</t>
  </si>
  <si>
    <t>The Polish American Encyclopedia</t>
  </si>
  <si>
    <t>Pula, James S.;Biskupski, M B B;Galush, William E;Jaroszynska-Kirchmann, Anna D;Napierkowski, Thomas J;Pease, Neal</t>
  </si>
  <si>
    <t>973/.049185</t>
  </si>
  <si>
    <t>Polish Americans -- Encyclopedias. ; Polish Americans -- Biography -- Encyclopedias.</t>
  </si>
  <si>
    <t>Space Exploration</t>
  </si>
  <si>
    <t>Sol 90;Sol 90</t>
  </si>
  <si>
    <t>Engineering: General; Science: Astronomy; Science; Engineering</t>
  </si>
  <si>
    <t>Management. ; Leadership.</t>
  </si>
  <si>
    <t>World Exploration From Ancient Times</t>
  </si>
  <si>
    <t>Learn and Explore</t>
  </si>
  <si>
    <t>Green, Anthony;Green, Anthony</t>
  </si>
  <si>
    <t>Geography/Travel</t>
  </si>
  <si>
    <t>910/.9/01</t>
  </si>
  <si>
    <t>Customer relations. ; Customer services. ; Consumer satisfaction.</t>
  </si>
  <si>
    <t>A Concise Encyclopedia of the United Nations : Second Revised Edition</t>
  </si>
  <si>
    <t>Volger, Helmut</t>
  </si>
  <si>
    <t>341.23/03</t>
  </si>
  <si>
    <t>United Nations -- Encyclopedias. ; International law -- Encyclopedias. ; International cooperation -- Encyclopedias. ; International relations -- Encyclopedias.</t>
  </si>
  <si>
    <t>Writing Essays for Dummies</t>
  </si>
  <si>
    <t>Page, Mary;Winstanley, Carrie;Winstanley, Carrie</t>
  </si>
  <si>
    <t>Essay -- Authorship -- Handbooks, manuals, etc. ; English language -- Rhetoric -- Handbooks, manuals, etc.</t>
  </si>
  <si>
    <t>A Companion to the Punic Wars</t>
  </si>
  <si>
    <t>Hoyos, Dexter</t>
  </si>
  <si>
    <t>Punic wars. ; Rome -- History -- Republic, 265-30 B.C.</t>
  </si>
  <si>
    <t>Introduction to the Science of Medical Imaging</t>
  </si>
  <si>
    <t>Bryan, R. Nick</t>
  </si>
  <si>
    <t>Diagnostic imaging</t>
  </si>
  <si>
    <t>Essentials of Intellectual Property : Law, Economics, and Strategy</t>
  </si>
  <si>
    <t>Essentials Series</t>
  </si>
  <si>
    <t>Poltorak, Alexander I.;Lerner, Paul J.</t>
  </si>
  <si>
    <t>346.7304/8</t>
  </si>
  <si>
    <t>Intellectual property -- United States. ; Intangible property -- United States.</t>
  </si>
  <si>
    <t>The CSI Construction Contract Administration Practice Guide</t>
  </si>
  <si>
    <t>CSI Practice Guides</t>
  </si>
  <si>
    <t>Construction Specifications Institute</t>
  </si>
  <si>
    <t>Engineering; Engineering: Construction</t>
  </si>
  <si>
    <t>Buildings -- Specifications -- Handbooks, manuals, etc. ; Construction contracts -- Handbooks, manuals, etc. ; Letting of contracts -- Handbooks, manuals, etc. ; Construction industry -- Management -- Handbooks, manuals, etc.</t>
  </si>
  <si>
    <t>The Handbook for Student Leadership Development</t>
  </si>
  <si>
    <t xml:space="preserve">Komives, Susan R.;Dugan, John P.;Owen, Julie E.;Slack, Craig ;Wagner, Wendy ;National Clearinghouse of Leadership Programs (NCLP);Owen, Julie E </t>
  </si>
  <si>
    <t>378.1/98</t>
  </si>
  <si>
    <t>Student affairs services -- United States -- Handbooks, manuals, etc. ; College student development programs -- United States -- Handbooks, manuals, etc. ; Counseling in higher education -- United States -- Handbooks, manuals, etc.</t>
  </si>
  <si>
    <t>British History for Dummies</t>
  </si>
  <si>
    <t>Lang, Se�n;Lang, Seán</t>
  </si>
  <si>
    <t>Great Britain -- History -- Handbooks, manuals, etc. ; Great Britain -- History -- Outlines, syllabi, etc. ; Great Britain -- History.</t>
  </si>
  <si>
    <t>A Companion to the Anthropology of India</t>
  </si>
  <si>
    <t>Clark-Decès, Isabelle;Clark-Decès, Isabelle</t>
  </si>
  <si>
    <t>Anthropology -- India. ; India -- Social conditions. ; India -- Economic conditions. ; India -- Population.</t>
  </si>
  <si>
    <t>The Handbook of Hispanic Sociolinguistics</t>
  </si>
  <si>
    <t>Diaz-Campos, Manuel</t>
  </si>
  <si>
    <t>Language/Linguistics; Social Science</t>
  </si>
  <si>
    <t>Spanish language -- Social aspects. ; Sociolinguistics.</t>
  </si>
  <si>
    <t>Every Day of the Civil War : A Chronological Encyclopedia</t>
  </si>
  <si>
    <t>Hannings, Bud</t>
  </si>
  <si>
    <t>United States - History - Civil War, 1861-1865</t>
  </si>
  <si>
    <t>Arthurian Figures of History and Legend : A Biographical Dictionary</t>
  </si>
  <si>
    <t>Reno, Frank D.</t>
  </si>
  <si>
    <t>Arthur, -- King -- Contemporaries -- Dictionaries. ; Malory, Thomas, -- Sir, -- 15th cent. -- Morte d'Arthur -- Characters. ; Arthurian romances -- Dictionaries. ; Britons -- Biography -- Dictionaries. ; Great Britain -- History -- To 1066 -- Biography -- Dictionaries. ; Great Britain -- Antiquities, Celtic -- Dictionaries. ; Great Britain -- History -- To 1066 -- Folklore -- Dictionaries.</t>
  </si>
  <si>
    <t>Classic Asian Philosophy : A Guide to the Essential Texts</t>
  </si>
  <si>
    <t>Kupperman, Joel J.</t>
  </si>
  <si>
    <t>Philosophy, Asian. ; Asia -- Religion.</t>
  </si>
  <si>
    <t>Oxford American Mini-Handbook of Gastrointestinal Cancers</t>
  </si>
  <si>
    <t>Lyman, Gary H.;Cassidy, Global Head of Translational Medicine ( Oncology) Jim</t>
  </si>
  <si>
    <t>Gastrointestinal system -- Cancer -- Handbooks, manuals, etc. ; Oncology -- Handbooks, manuals, etc.</t>
  </si>
  <si>
    <t>The Cambridge Dictionary of Christianity</t>
  </si>
  <si>
    <t>Patte, Daniel</t>
  </si>
  <si>
    <t>Christianity -- Dictionaries.</t>
  </si>
  <si>
    <t>A Companion to Social Geography</t>
  </si>
  <si>
    <t>Wiley-Blackwell Companions to Geography</t>
  </si>
  <si>
    <t>Del Casino, Vincent J., Jr.;Cloke, Paul;Panelli, Ruth;Thomas, Mary</t>
  </si>
  <si>
    <t>Social Science; Environmental Studies</t>
  </si>
  <si>
    <t>Human geography. ; Social sciences.</t>
  </si>
  <si>
    <t>A Companion to Cognitive Anthropology</t>
  </si>
  <si>
    <t xml:space="preserve">Kronenfeld, David B.;Bennardo, Giovanni;de Munck, Victor C.;Fischer, Michael D. </t>
  </si>
  <si>
    <t>Social Science; Psychology</t>
  </si>
  <si>
    <t>Ethnopsychology. ; Cognition and culture.</t>
  </si>
  <si>
    <t>The Wiley-Blackwell Handbook of Individual Differences</t>
  </si>
  <si>
    <t>HPIZ - Wiley-Blackwell Handbooks in Personality and Individual Differences Ser.</t>
  </si>
  <si>
    <t>Chamorro-Premuzic, Tomas;von Stumm, Sophie;Furnham, Adrian;Chamorro-premuzic, Tomas</t>
  </si>
  <si>
    <t>Individual differences -- Handbooks, manuals, etc. ; Personality -- Handbooks, manuals, etc. ; Intellect -- Handbooks, manuals, etc.</t>
  </si>
  <si>
    <t>IAAP Handbook of Applied Psychology</t>
  </si>
  <si>
    <t>Martin, Paul R.;Cheung, Fanny M.;Knowles, Michael C.;Kyrios, Michael;Littlefield, Lyn ;Overmier, J. Bruce ;Prieto, José M.;Prieto, José M.</t>
  </si>
  <si>
    <t>Psychology, Applied. ; Psychology -- Handbooks, manuals, etc.</t>
  </si>
  <si>
    <t>The Wiley-Blackwell Companion to Human Geography</t>
  </si>
  <si>
    <t>Wiley Blackwell Companions to Geography Ser.</t>
  </si>
  <si>
    <t>Agnew, John A.;Duncan, James S.</t>
  </si>
  <si>
    <t>Human geography.</t>
  </si>
  <si>
    <t>The Blackwell Companion to Christian Ethics</t>
  </si>
  <si>
    <t>Blackwell companions to religion</t>
  </si>
  <si>
    <t>Hauerwas, Stanley;Wells, Samuel</t>
  </si>
  <si>
    <t>Philosophy; Religion</t>
  </si>
  <si>
    <t>Christian ethics. ; Public worship -- Moral and ethical aspects.</t>
  </si>
  <si>
    <t>Bookkeeping Essentials : How to Succeed As a Bookkeeper</t>
  </si>
  <si>
    <t>Bragg, Steven M.</t>
  </si>
  <si>
    <t>Bookkeeping. ; Accounting. ; Fraud -- Prevention.</t>
  </si>
  <si>
    <t>Handbook of Practical Medical Terms (English Chinese)</t>
  </si>
  <si>
    <t>Hong Kong University Press</t>
  </si>
  <si>
    <t>Wei, William I.;Cheng, Stephen W.K.;Ng, Anthony</t>
  </si>
  <si>
    <t>610;610.14</t>
  </si>
  <si>
    <t>Psychology -- Outlines, syllabi, etc. ; Psychology -- Handbooks, manuals, etc.</t>
  </si>
  <si>
    <t>Cultural Encyclopedia of LSD</t>
  </si>
  <si>
    <t>Glausser, Wayne</t>
  </si>
  <si>
    <t>362.29/403</t>
  </si>
  <si>
    <t>LSD (Drug) -- Social aspects. ; LSD (Drug) -- History.</t>
  </si>
  <si>
    <t>Slave Narratives after Slavery</t>
  </si>
  <si>
    <t>Andrews, William L.</t>
  </si>
  <si>
    <t>History; Social Science</t>
  </si>
  <si>
    <t>Slaves - Southern States - Social conditions - 19th century</t>
  </si>
  <si>
    <t>A History of the Supreme Court</t>
  </si>
  <si>
    <t>Schwartz, Bernard</t>
  </si>
  <si>
    <t>347.73/26/09 347</t>
  </si>
  <si>
    <t>United States. -- Supreme Court -- History. ; Law -- United States -- History.</t>
  </si>
  <si>
    <t>Edward Hopper Encyclopedia</t>
  </si>
  <si>
    <t>Mamunes, Lenora</t>
  </si>
  <si>
    <t>Hopper, Edward, -- 1882-1967 -- Encyclopedias.</t>
  </si>
  <si>
    <t>The Halloween Encyclopedia</t>
  </si>
  <si>
    <t>Morton, Lisa</t>
  </si>
  <si>
    <t>Halloween -- Encyclopedias.</t>
  </si>
  <si>
    <t>The Animated Film Encyclopedia : A Complete Guide to American Shorts, Features and Sequences, 1900-1979</t>
  </si>
  <si>
    <t>Webb, Graham</t>
  </si>
  <si>
    <t>791.4/33/03</t>
  </si>
  <si>
    <t>Animated films -- United States -- Encyclopedias.</t>
  </si>
  <si>
    <t>Stephen King : A Literary Companion</t>
  </si>
  <si>
    <t>Wood, Rocky</t>
  </si>
  <si>
    <t>King, Stephen, -- 1947- -- Criticism and interpretation. ; Authors, American -- 20th century.</t>
  </si>
  <si>
    <t>Bioethics Around the Globe</t>
  </si>
  <si>
    <t>Myser, Catherine</t>
  </si>
  <si>
    <t>Science: Biology/Natural History; Science; Philosophy</t>
  </si>
  <si>
    <t>174/.957</t>
  </si>
  <si>
    <t>Bioethics. ; Bioethics -- Developing countries. ; Globalization.</t>
  </si>
  <si>
    <t>The SAGE Dictionary of Quantitative Management Research</t>
  </si>
  <si>
    <t>Moutinho, Luiz A M;Hutcheson, Graeme D</t>
  </si>
  <si>
    <t>Management -- Research -- Methodology -- Dictionaries. ; Qualitative research -- Dictionaries.</t>
  </si>
  <si>
    <t>A Companion to Asian Art and Architecture</t>
  </si>
  <si>
    <t>Brown, Rebecca M.;Hutton, Deborah S.;Arnold, Dana</t>
  </si>
  <si>
    <t>Art, Asian. ; Architecture -- Asia.</t>
  </si>
  <si>
    <t>The Quantum Story : A History in 40 Moments</t>
  </si>
  <si>
    <t>Oxford Landmark Science Ser.</t>
  </si>
  <si>
    <t>Baggott, Jim;Baggott, J E</t>
  </si>
  <si>
    <t>Quantum theory -- History.</t>
  </si>
  <si>
    <t>Handbook of Health Social Work</t>
  </si>
  <si>
    <t xml:space="preserve">Gehlert, Sarah;Browne, Teri;Gehlert, Sarah ;Browne, Teri </t>
  </si>
  <si>
    <t>362.1/0425</t>
  </si>
  <si>
    <t>ZBrush. ; Computer graphics. ; Human figure in art.</t>
  </si>
  <si>
    <t>International Handbook of Suicide Prevention : Research, Policy and Practice</t>
  </si>
  <si>
    <t>Platt, Stephen;Gordon, Jacki;O'Connor, Rory C.</t>
  </si>
  <si>
    <t>Medicine; Social Science</t>
  </si>
  <si>
    <t>Suicide -- Prevention -- Research. ; Suicidal behavior -- Research.</t>
  </si>
  <si>
    <t>Wiley-Blackwell Encyclopedia of Human Evolution</t>
  </si>
  <si>
    <t>Blackwell Handbooks in Linguistics</t>
  </si>
  <si>
    <t>Wood, Bernard;Wood, Bernard</t>
  </si>
  <si>
    <t>Human evolution -- Encyclopedias.</t>
  </si>
  <si>
    <t>The Blackwell Companion to Religion and Violence</t>
  </si>
  <si>
    <t>Blackwell Companions to Religion</t>
  </si>
  <si>
    <t>Murphy, Andrew R.</t>
  </si>
  <si>
    <t>205/.697</t>
  </si>
  <si>
    <t>Violence -- Religious aspects. ; Religion.</t>
  </si>
  <si>
    <t>The Encyclopedia of the Novel</t>
  </si>
  <si>
    <t>Wiley-Blackwell Encyclopedia of Literature Ser.</t>
  </si>
  <si>
    <t>Logan, Peter Melville;George, Olakunle;Hegeman, Susan;Kristal, Efra�n;Kristal, Efraín</t>
  </si>
  <si>
    <t>809.3/003</t>
  </si>
  <si>
    <t>Fiction -- Encyclopedias.</t>
  </si>
  <si>
    <t>The Blackwell Companion to Paul</t>
  </si>
  <si>
    <t>Westerholm, Stephen</t>
  </si>
  <si>
    <t>227/.06</t>
  </si>
  <si>
    <t>Paul, -- the Apostle, Saint. ; Bible. -- N.T. -- Epistles of Paul -- Theology. ; Bible. -- N.T. -- Epistles of Paul -- Criticism, interpretation, etc. ; Apostles.</t>
  </si>
  <si>
    <t>The Handbook of Scholarly Writing and Publishing</t>
  </si>
  <si>
    <t>Rocco, Tonette S.;Creswell, John W.;Hatcher, Timothy Gary</t>
  </si>
  <si>
    <t>Authorship. ; Academic writing. ; Scholarly publishing.</t>
  </si>
  <si>
    <t>The English Teacher's Survival Guide : Ready-To-Use Techniques and Materials for Grades 7-12</t>
  </si>
  <si>
    <t>Brandvik, Mary Lou;McKnight, Katherine S.</t>
  </si>
  <si>
    <t>Education; Language/Linguistics</t>
  </si>
  <si>
    <t>428.0071/2</t>
  </si>
  <si>
    <t>Language arts (Secondary) -- United States -- Handbooks, manuals, etc. ; High school teaching -- United States -- Handbooks, manuals, etc. ; Classroom management -- United States -- Handbooks, manuals, etc. ; English teachers -- United States -- Handbooks, manuals, etc.</t>
  </si>
  <si>
    <t>Writing a Dissertation for Dummies</t>
  </si>
  <si>
    <t>Winstanley, Carrie;Winstanley, Carrie</t>
  </si>
  <si>
    <t>Literature; Education</t>
  </si>
  <si>
    <t>Dissertations, Academic -- Style manuals. ; Authorship -- Style manuals.</t>
  </si>
  <si>
    <t>Epilepsy</t>
  </si>
  <si>
    <t>What Do I Do Now Ser.</t>
  </si>
  <si>
    <t>Bazil, Carl W.;Chong, Derek J.;Friedman, Daniel</t>
  </si>
  <si>
    <t>Epilepsy -- Case studies.</t>
  </si>
  <si>
    <t>Handbook of the Syllable : Handbook of the Syllable</t>
  </si>
  <si>
    <t>Brill's Handbooks in Linguistics Ser.</t>
  </si>
  <si>
    <t>Cairns, Charles E.;Raimy, Eric</t>
  </si>
  <si>
    <t>414/.8</t>
  </si>
  <si>
    <t>Grammar, Comparative and general -- Syllable. ; Syllabication. ; Phonetics.</t>
  </si>
  <si>
    <t>The Britannica Guide to Basketball : Britannica Guide to Basketball</t>
  </si>
  <si>
    <t>The World of Sports Ser.</t>
  </si>
  <si>
    <t>Britannica Educational Publishing Staff;Augustyn, Adam</t>
  </si>
  <si>
    <t>Basketball -- Juvenile literature.</t>
  </si>
  <si>
    <t>Rocks : Landforms, Minerals, and Rocks: Rocks</t>
  </si>
  <si>
    <t>Geology: Landforms, Minerals, and Rocks Ser.</t>
  </si>
  <si>
    <t>Britannica Educational Publishing Staff;Rafferty, John</t>
  </si>
  <si>
    <t>Science; Science: Geology</t>
  </si>
  <si>
    <t>Rocks. ; Petology.</t>
  </si>
  <si>
    <t>On What Matters : Volume One</t>
  </si>
  <si>
    <t>The Berkeley Tanner Lectures</t>
  </si>
  <si>
    <t>Parfit, Derek</t>
  </si>
  <si>
    <t>Ethics.</t>
  </si>
  <si>
    <t>On What Matters : Volume Two</t>
  </si>
  <si>
    <t>Autism Spectrum Disorder</t>
  </si>
  <si>
    <t>Pittsburgh Pocket Psychiatry Ser.</t>
  </si>
  <si>
    <t>Lubetsky, Martin J.;Handen, Benjamin L.;McGonigle, John J.</t>
  </si>
  <si>
    <t>Autism in children -- Diagnosis. ; Autism in children -- Treatment.</t>
  </si>
  <si>
    <t>Handbook On Business Information Systems</t>
  </si>
  <si>
    <t>World Scientific Publishing Company</t>
  </si>
  <si>
    <t>Gunasekaran, Angappa;Sandhu, Maqsood</t>
  </si>
  <si>
    <t>Management information systems. ; Information technology.</t>
  </si>
  <si>
    <t>Britannica Enciclopedia Moderna</t>
  </si>
  <si>
    <t>Britannica Enciclopedia Moderna, 13</t>
  </si>
  <si>
    <t>Encyclopedias and dictionaries, Spanish. ; Encyclopedias and dictionaries.</t>
  </si>
  <si>
    <t>Spanish; Castilian</t>
  </si>
  <si>
    <t>Oxford American Handbook of Clinical Examination and Practical Skills : Oxford American Handbook of Clinical Examination and Practical Skills</t>
  </si>
  <si>
    <t>Burns, Elizabeth;Korn, Kenneth;Whyte, James</t>
  </si>
  <si>
    <t>Physical diagnosis -- Handbooks, manuals, etc.</t>
  </si>
  <si>
    <t>Radioactivity : A History of a Mysterious Science</t>
  </si>
  <si>
    <t>Malley, Marjorie C.</t>
  </si>
  <si>
    <t>539.7/2</t>
  </si>
  <si>
    <t>Radioactivity.</t>
  </si>
  <si>
    <t>Mexico : What Everyone Needs to Know®</t>
  </si>
  <si>
    <t>What Everyone Needs to Know® Ser.</t>
  </si>
  <si>
    <t>Camp, Roderic Ai</t>
  </si>
  <si>
    <t>History; Political Science</t>
  </si>
  <si>
    <t>National security - Mexico</t>
  </si>
  <si>
    <t>Downs : The History of a Disability</t>
  </si>
  <si>
    <t>Biographies of Disease Ser.</t>
  </si>
  <si>
    <t>Wright, David</t>
  </si>
  <si>
    <t>616.85/8842</t>
  </si>
  <si>
    <t>Down syndrome - Patients - Care - History</t>
  </si>
  <si>
    <t>William Gibson : A Literary Companion</t>
  </si>
  <si>
    <t>Henthorne, Tom</t>
  </si>
  <si>
    <t>Gibson, William, -- 1948- -- Handbooks, manuals, etc. ; Science fiction, American -- History and criticism.</t>
  </si>
  <si>
    <t>Encyclopedia of Water Politics and Policy in the United States</t>
  </si>
  <si>
    <t>CQ Press, a Division of SAGE</t>
  </si>
  <si>
    <t>Danver, Steven L.;Burch, John R.</t>
  </si>
  <si>
    <t>Environmental Studies; Agriculture; Economics; Business/Management</t>
  </si>
  <si>
    <t>333.9100973/03</t>
  </si>
  <si>
    <t>Family-owned business enterprises -- Management. ; Industrial management.</t>
  </si>
  <si>
    <t>Antarctica : An Encyclopedia</t>
  </si>
  <si>
    <t>Stewart, John</t>
  </si>
  <si>
    <t>919.8/9</t>
  </si>
  <si>
    <t>Antarctica -- Dictionaries.</t>
  </si>
  <si>
    <t>Handbook of Touch : Neuroscience, Behavioral, and Health Perspectives</t>
  </si>
  <si>
    <t>Hertenstein, Matthew;Weiss, Sandra</t>
  </si>
  <si>
    <t>Science: Anatomy/Physiology; Science: Biology/Natural History; Science</t>
  </si>
  <si>
    <t>612.8;612.8/8;612.88</t>
  </si>
  <si>
    <t>Touch. ; Senses and sensation.</t>
  </si>
  <si>
    <t>Religion in American Life : A Short History</t>
  </si>
  <si>
    <t>Religion in American Life Ser.</t>
  </si>
  <si>
    <t>Butler, Jon;Balmer, Randall;Wacker, Grant</t>
  </si>
  <si>
    <t>Religion and culture -- United States. ; United States -- Religion.</t>
  </si>
  <si>
    <t>Handbook of Motivational Counseling : Goal-Based Approaches to Assessment and Intervention with Addiction and Other Problems</t>
  </si>
  <si>
    <t>Cox, W. Miles;Klinger, Eric</t>
  </si>
  <si>
    <t>158/.3</t>
  </si>
  <si>
    <t>Alcohol-Related Disorders - therapy</t>
  </si>
  <si>
    <t>A Companion to T. S. Eliot</t>
  </si>
  <si>
    <t>Chinitz, David E.</t>
  </si>
  <si>
    <t>821/.912</t>
  </si>
  <si>
    <t>Eliot, T. S. -- (Thomas Stearns), -- 1888-1965 -- Criticism and interpretation -- Handbooks, manuals, etc.</t>
  </si>
  <si>
    <t>The Handbook of Internet Studies</t>
  </si>
  <si>
    <t>Handbooks in Communication and Media Ser.</t>
  </si>
  <si>
    <t>Consalvo, Mia;Ess, Charles;Burnett, Robert</t>
  </si>
  <si>
    <t>Quality control -- Handbooks, manuals, etc. ; Total quality management.</t>
  </si>
  <si>
    <t>Handbook of Life-Span Development</t>
  </si>
  <si>
    <t xml:space="preserve">Fingerman, Karen L.;Berg, Cynthia;Smith, Jacqui;Antonucci, Toni C. </t>
  </si>
  <si>
    <t>Developmental psychology -- Handbooks, manuals, etc. ; Developmental psychobiology -- Handbooks, manuals, etc.</t>
  </si>
  <si>
    <t>The Endocrine System : Endocrine System</t>
  </si>
  <si>
    <t>The Human Body II Ser.</t>
  </si>
  <si>
    <t>Rogers, Kara;Britannica Educational Publishing Staff</t>
  </si>
  <si>
    <t>Science; Science: Anatomy/Physiology; Science: Biology/Natural History</t>
  </si>
  <si>
    <t>Endocrine glands -- Physiology -- Juvenile literature. ; Endocrine glands -- Diseases -- Juvenile literature.</t>
  </si>
  <si>
    <t>The Encyclopedia of Neuropsychological Disorders</t>
  </si>
  <si>
    <t>Horton, Arthur MacNeill, Jr., EdD, ABPP, ABPN;Noggle, Chad A., PhD, ABN;Dean, Raymond S., PhD, ABPP, ABN, ABPdN</t>
  </si>
  <si>
    <t>Yoga -- Juvenile fiction. ; American fiction.</t>
  </si>
  <si>
    <t>Encyclopedia of Television Shows, 1925 Through 2007</t>
  </si>
  <si>
    <t>Terrace, Vincent</t>
  </si>
  <si>
    <t>791.45/750973</t>
  </si>
  <si>
    <t>Television programs -- United States -- Catalogs.</t>
  </si>
  <si>
    <t>Surnames, DNA, and Family History</t>
  </si>
  <si>
    <t>Redmonds, George;King, Turi;Hey, David</t>
  </si>
  <si>
    <t>Genealogy. ; Names, Personal. ; Genetics.</t>
  </si>
  <si>
    <t>Religion and Human Rights : An Introduction</t>
  </si>
  <si>
    <t>Witte, John;Green, M. Christian</t>
  </si>
  <si>
    <t>201/.723</t>
  </si>
  <si>
    <t>Human rights -- Religious aspects. ; Religion and politics. ; Religions.</t>
  </si>
  <si>
    <t>Handbook of Child and Adolescent Drug and Substance Abuse : Pharmacological, Developmental, and Clinical Considerations</t>
  </si>
  <si>
    <t>Pagliaro, Louis A.;Pagliaro, Ann Marie</t>
  </si>
  <si>
    <t>618.92/689</t>
  </si>
  <si>
    <t>Children -- Substance use -- North America. ; Teenagers -- Substance use -- North America. ; Drugs. ; Substance abuse -- North America.</t>
  </si>
  <si>
    <t>The Essential Department Chair : A Comprehensive Desk Reference</t>
  </si>
  <si>
    <t>Jossey-Bass Resources for Department Chairs Ser.</t>
  </si>
  <si>
    <t>Buller, Jeffrey L.;Buller, Jeffrey L.</t>
  </si>
  <si>
    <t>378.1/11</t>
  </si>
  <si>
    <t>College department heads. ; Universities and colleges -- Administration.</t>
  </si>
  <si>
    <t>The Encyclopedia of Human Resource Management, Volume 1 : Short Entries</t>
  </si>
  <si>
    <t>Rothwell, William J.;Prescott, Robert K.</t>
  </si>
  <si>
    <t>Personnel management -- Encyclopedias.</t>
  </si>
  <si>
    <t>The Encyclopedia of Human Resource Management, Volume 2 : HR Forms and Job Aids</t>
  </si>
  <si>
    <t xml:space="preserve">Rothwell, William J.;Lindholm, Jed;Yarrish, Karen;Zaballero, Aileen </t>
  </si>
  <si>
    <t>Personnel management -- Encyclopedias. ; Personnel records.</t>
  </si>
  <si>
    <t>Dictionary of Developmental Biology and Embryology</t>
  </si>
  <si>
    <t>Dye, Frank J.</t>
  </si>
  <si>
    <t>Science: Biology/Natural History; Science</t>
  </si>
  <si>
    <t>Developmental biology -- Dictionaries. ; Embryology -- Dictionaries.</t>
  </si>
  <si>
    <t>The Social Media Handbook : Rules, Policies, and Best Practices to Successfully Manage Your Organization's Social Media Presence, Posts, and Potential</t>
  </si>
  <si>
    <t>Flynn, Nancy</t>
  </si>
  <si>
    <t>302.23/1</t>
  </si>
  <si>
    <t>Social media -- Economic aspects.</t>
  </si>
  <si>
    <t>Wind Energy Handbook</t>
  </si>
  <si>
    <t>Burton, Tony;Jenkins, Nick;Sharpe, David;Bossanyi, Ervin</t>
  </si>
  <si>
    <t>Engineering; Engineering: General; Engineering: Mechanical</t>
  </si>
  <si>
    <t>TECHNOLOGY &amp; ENGINEERING / Power Resources / General</t>
  </si>
  <si>
    <t>Food Additives Data Book</t>
  </si>
  <si>
    <t>Smith, Jim;Hong-Shum, Lily;Hong-Shum, Lily</t>
  </si>
  <si>
    <t>Engineering; Health; Engineering: Chemical</t>
  </si>
  <si>
    <t>Food additives -- Handbooks, manuals, etc. ; Food -- Composition -- Handbooks, manuals, etc.</t>
  </si>
  <si>
    <t>A Companion to Nietzsche</t>
  </si>
  <si>
    <t>Ansell-Pearson, Keith</t>
  </si>
  <si>
    <t>Nietzsche, Friedrich Wilhelm, 1844-1900.</t>
  </si>
  <si>
    <t>A Companion to Phenomenology and Existentialism</t>
  </si>
  <si>
    <t>Dreyfus, Hubert L.;Wrathall, Mark A.</t>
  </si>
  <si>
    <t>142/.7</t>
  </si>
  <si>
    <t>Phenomenology</t>
  </si>
  <si>
    <t>A Companion to the History of the Book</t>
  </si>
  <si>
    <t>Eliot, Simon;Rose, Jonathan</t>
  </si>
  <si>
    <t>Book industries and trade - History</t>
  </si>
  <si>
    <t>The Blackwell Handbook of Early Childhood Development</t>
  </si>
  <si>
    <t>Wiley Blackwell Handbooks of Developmental Psychology Ser.</t>
  </si>
  <si>
    <t>McCartney, Kathleen;Phillips, Deborah;Phillips, Deborah</t>
  </si>
  <si>
    <t>Child, Preschool</t>
  </si>
  <si>
    <t>A Companion to the Roman Republic</t>
  </si>
  <si>
    <t>Rosenstein, Nathan;Morstein-Marx, Robert;Morstein-Marx, Robert</t>
  </si>
  <si>
    <t>Rome -- Civilization. ; Rome -- History -- Republic, 510-30 B.C.</t>
  </si>
  <si>
    <t>A Companion to Medieval Art : Romanesque and Gothic in Northern Europe</t>
  </si>
  <si>
    <t>Rudolph, Conrad</t>
  </si>
  <si>
    <t>Art, Medieval - Europe, Northern ; Art, Medieval -- Europe, Northern.</t>
  </si>
  <si>
    <t>A Companion to Museum Studies</t>
  </si>
  <si>
    <t>Macdonald, Sharon</t>
  </si>
  <si>
    <t>Museums</t>
  </si>
  <si>
    <t>Museum techniques. ; Museums -- Philosophy. ; Museums -- Social aspects.</t>
  </si>
  <si>
    <t>A Companion to the Civil War and Reconstruction</t>
  </si>
  <si>
    <t>Ford, Lacy</t>
  </si>
  <si>
    <t>A Companion to American Immigration</t>
  </si>
  <si>
    <t>Ueda, Reed</t>
  </si>
  <si>
    <t>Political Science; Social Science</t>
  </si>
  <si>
    <t>304.8/73</t>
  </si>
  <si>
    <t>United States - Emigration and immigration</t>
  </si>
  <si>
    <t>A Companion to Europe, 1900 - 1945</t>
  </si>
  <si>
    <t>Blackwell Companions to European History Ser.</t>
  </si>
  <si>
    <t>Martel, Gordon</t>
  </si>
  <si>
    <t>Europe - History - 20th century</t>
  </si>
  <si>
    <t>A Companion to the Roman Army</t>
  </si>
  <si>
    <t>Erdkamp, Paul</t>
  </si>
  <si>
    <t>Military Science</t>
  </si>
  <si>
    <t>Military history, Ancient ; Military history, Ancient. ; Rome - Army ; Rome -- Army. ; Rome - History, Military ; Rome -- History, Military.</t>
  </si>
  <si>
    <t>The Encyclopedia of Human Resource Management, Volume 3 : Thematic Essays</t>
  </si>
  <si>
    <t>Rothwell, William J.;Benscoter, George M. (Bud)</t>
  </si>
  <si>
    <t>The Complete CPA Reference</t>
  </si>
  <si>
    <t>Dauber, Nick A.;Siegel, Joel G.;Shim, Jae K.</t>
  </si>
  <si>
    <t>Accounting -- Handbooks, manuals, etc.</t>
  </si>
  <si>
    <t>The Graphic Designer's Guide to Portfolio Design</t>
  </si>
  <si>
    <t>Myers, Debbie Rose</t>
  </si>
  <si>
    <t>Art portfolios -- Design. ; Design services -- Marketing. ; Graphic arts -- Vocational guidance. ; Computer graphics.</t>
  </si>
  <si>
    <t>A Companion to World War I</t>
  </si>
  <si>
    <t>Horne, John</t>
  </si>
  <si>
    <t>World War, 1914-1918. ; World War, 1914-1918 -- Social aspects.</t>
  </si>
  <si>
    <t>The Wiley-Blackwell Companion to Sociology</t>
  </si>
  <si>
    <t>Ritzer, George</t>
  </si>
  <si>
    <t>Sociology. ; Social sciences.</t>
  </si>
  <si>
    <t>The Wiley-Blackwell Handbook of Couples and Family Relationships</t>
  </si>
  <si>
    <t>Noller, Patricia;Karantzas, Gery C.</t>
  </si>
  <si>
    <t>Families -- Psychological aspects. ; Couples -- Psychology. ; Interpersonal relations.</t>
  </si>
  <si>
    <t>Handbook of Food Safety Engineering</t>
  </si>
  <si>
    <t>Sun, Da-Wen;Sun, Da-Wen</t>
  </si>
  <si>
    <t>363.19/26</t>
  </si>
  <si>
    <t>Food -- Safety measures. ; Food -- Microbiology. ; Food industry and trade -- Sanitation.</t>
  </si>
  <si>
    <t>Memoir : An Introduction</t>
  </si>
  <si>
    <t>Couser, G. Thomas</t>
  </si>
  <si>
    <t>Literature; History</t>
  </si>
  <si>
    <t>808/.06692</t>
  </si>
  <si>
    <t>Autobiography -- Authorship.</t>
  </si>
  <si>
    <t>Oxford American Handbook of Hospice and Palliative Medicine : Oxford American Handbook of Hospice and Palliative Medicine</t>
  </si>
  <si>
    <t>Bruera, Eduardo;Yennurajalingam, Sriram</t>
  </si>
  <si>
    <t>362.17/56</t>
  </si>
  <si>
    <t>Palliative treatment -- Handbooks, manuals, etc. ; Hospice care -- Handbooks, manuals, etc. ; Hospices (Terminal care) -- Handbooks, manuals, etc.</t>
  </si>
  <si>
    <t>Understanding Social Networks : Theories, Concepts, and Findings</t>
  </si>
  <si>
    <t>Kadushin, Charles</t>
  </si>
  <si>
    <t>Social networks.</t>
  </si>
  <si>
    <t>The School Psychologist's Survival Guide</t>
  </si>
  <si>
    <t>Branstetter, Rebecca</t>
  </si>
  <si>
    <t>School psychologists -- United States -- Handbooks, manuals, etc. ; School psychology -- United States -- Handbooks, manuals, etc.</t>
  </si>
  <si>
    <t>Building Websites All-In-One for Dummies</t>
  </si>
  <si>
    <t>Karlins, David;Sahlin, Doug</t>
  </si>
  <si>
    <t>Web site development.</t>
  </si>
  <si>
    <t>A Companion to Moral Anthropology</t>
  </si>
  <si>
    <t>Fassin, Didier</t>
  </si>
  <si>
    <t>Anthropology -- Moral and ethical aspects -- Handbooks, manuals, etc.</t>
  </si>
  <si>
    <t>Writing Science : How to Write Papers That Get Cited and Proposals That Get Funded</t>
  </si>
  <si>
    <t>Schimel, Joshua</t>
  </si>
  <si>
    <t>Engineering; Literature; Engineering: General</t>
  </si>
  <si>
    <t>808.06/65</t>
  </si>
  <si>
    <t>Technical writing. ; Proposal writing for grants.</t>
  </si>
  <si>
    <t>Neurocritical Care</t>
  </si>
  <si>
    <t>Oxford University Press</t>
  </si>
  <si>
    <t>What Do I Do Now</t>
  </si>
  <si>
    <t>Wijdicks, Eelco F.M.;Rabinstein, Alejandro A.</t>
  </si>
  <si>
    <t>Neurological intensive care. ; Neurological emergencies.</t>
  </si>
  <si>
    <t>Neuroimmunology</t>
  </si>
  <si>
    <t>Miller, Aaron E.;DeAngelis, Tracy M.</t>
  </si>
  <si>
    <t>Science: Biology/Natural History; Science; Medicine</t>
  </si>
  <si>
    <t>616.97/8</t>
  </si>
  <si>
    <t>Neuroimmunology. ; Nervous system -- Diseases -- Immunological aspects.</t>
  </si>
  <si>
    <t>Encyclopedia of Alzheimer's Disease</t>
  </si>
  <si>
    <t>Moore, Elaine A.;Moore, Lisa</t>
  </si>
  <si>
    <t>616.8/31003</t>
  </si>
  <si>
    <t>Alzheimer Disease - English</t>
  </si>
  <si>
    <t>Polymers in Industry from a to Z : A Concise Encyclopedia</t>
  </si>
  <si>
    <t>Mascia, Leno</t>
  </si>
  <si>
    <t>Engineering: Chemical; Engineering</t>
  </si>
  <si>
    <t>Polymers -- Encyclopedias. ; Polymers -- Industrial applications -- Encyclopedias. ; Polymers industry -- Encyclopedias. ; Plastics industry and trade -- Encyclopedias.</t>
  </si>
  <si>
    <t>America's Death Penalty : Between Past and Present</t>
  </si>
  <si>
    <t>New York University Press</t>
  </si>
  <si>
    <t>Garland, David;McGowen, Randall;Meranze, Michael</t>
  </si>
  <si>
    <t>Punishment - United States</t>
  </si>
  <si>
    <t>Lotions, Potions, Pills, and Magic : Health Care in Early America</t>
  </si>
  <si>
    <t>Breslaw, Elaine G.</t>
  </si>
  <si>
    <t>Medicine; Social Science; Health</t>
  </si>
  <si>
    <t>Public health - United States - History - 18th century</t>
  </si>
  <si>
    <t>The Study of Children in Religions : A Methods Handbook</t>
  </si>
  <si>
    <t>Ridgely, Susan B.</t>
  </si>
  <si>
    <t>Children - Religious life</t>
  </si>
  <si>
    <t>Places of Encounter, Volume 1 : Time, Place, and Connectivity in World History, Volume One: To 1600</t>
  </si>
  <si>
    <t>MacKinnon, Aran;MacKinnon, Elaine McClarnand</t>
  </si>
  <si>
    <t>Geography/Travel; History</t>
  </si>
  <si>
    <t>World history. ; World history -- Sources. ; Cities and towns -- History. ; Cities and towns -- History -- Sources. ; Social change -- History. ; Social change -- History -- Sources. ; Cultural relations -- History.</t>
  </si>
  <si>
    <t>The Wiley-Blackwell Companion to African Religions</t>
  </si>
  <si>
    <t>Bongmba, Elias Kifon</t>
  </si>
  <si>
    <t>Africa -- Religion.</t>
  </si>
  <si>
    <t>The Wiley-Blackwell Companion to Religion and Social Justice</t>
  </si>
  <si>
    <t>Palmer, Michael D.;Burgess, Stanley M.</t>
  </si>
  <si>
    <t>Social justice -- Religious aspects.</t>
  </si>
  <si>
    <t>A Companion to Chinese Cinema</t>
  </si>
  <si>
    <t>Wiley Blackwell Companions to National Cinemas Ser.</t>
  </si>
  <si>
    <t>Zhang, Yingjin</t>
  </si>
  <si>
    <t>Motion pictures -- China -- History -- 20th century. ; Motion pictures -- China -- History -- 21st century.</t>
  </si>
  <si>
    <t>The ESL / ELL Teacher's Survival Guide : Ready-To-Use Strategies, Tools, and Activities for Teaching English Language Learners of All Levels</t>
  </si>
  <si>
    <t>Ferlazzo, Larry;Sypnieski, Katie Hull</t>
  </si>
  <si>
    <t>English language -- Study and teaching -- Foreign speakers.</t>
  </si>
  <si>
    <t>Symbolism : A Comprehensive Dictionary</t>
  </si>
  <si>
    <t>Olderr, Steven</t>
  </si>
  <si>
    <t>Symbolism -- Dictionaries. ; Symbolism.</t>
  </si>
  <si>
    <t>Oxford American Handbook of Endocrinology and Diabetes</t>
  </si>
  <si>
    <t>Draznin, Boris;Epstein, Sol</t>
  </si>
  <si>
    <t>Endocrinology -- Handbooks, manuals, etc. ; Diabetes -- Handbooks, manuals, etc.</t>
  </si>
  <si>
    <t>Overfishing : What Everyone Needs to Know®</t>
  </si>
  <si>
    <t>Hilborn, Ray;Hilborn, Ulrike</t>
  </si>
  <si>
    <t>Business/Management; Economics; Agriculture</t>
  </si>
  <si>
    <t>338.3/727</t>
  </si>
  <si>
    <t>Overfishing. ; Sustainable fisheries. ; Fisheries -- Environmental aspects.</t>
  </si>
  <si>
    <t>Turkey : What Everyone Needs to Know®</t>
  </si>
  <si>
    <t>Finkel, Andrew</t>
  </si>
  <si>
    <t>Health status indicators -- United States -- States. ; Medical care -- United States -- States -- Statistics. ; United States -- Statistics, Medical.</t>
  </si>
  <si>
    <t>Arab Uprisings : What Everyone Needs to Know</t>
  </si>
  <si>
    <t>What Everyone Needs to Know</t>
  </si>
  <si>
    <t>Gelvin, James L.</t>
  </si>
  <si>
    <t>Political Science; History</t>
  </si>
  <si>
    <t>956.05/4</t>
  </si>
  <si>
    <t>Protest movements -- Arab countries -- History -- 21st century. ; Protest movements -- Middle East -- History -- 21st century. ; Protest movements -- Middle East. ; Arab countries -- Politics and government -- 21st century. ; Middle East -- Politics and government -- 21st century.</t>
  </si>
  <si>
    <t>Just Enough Physiology</t>
  </si>
  <si>
    <t>Mayo Clinic Scientific Press Ser.</t>
  </si>
  <si>
    <t>Munis, James R.</t>
  </si>
  <si>
    <t>Physiology. ; Biology.</t>
  </si>
  <si>
    <t>Sudan, South Sudan, and Darfur : What Everyone Needs to Know</t>
  </si>
  <si>
    <t>Natsios, Andrew S.</t>
  </si>
  <si>
    <t>Sudan -- History -- 1956- ; Sudan -- Politics and government. ; Darfur (Sudan) -- History. ; South Sudan -- History. ; Sudan -- Race relations.</t>
  </si>
  <si>
    <t>Convex Functions : Constructions, Characterizations and Counterexamples</t>
  </si>
  <si>
    <t>Encyclopedia of Mathematics and its Applications</t>
  </si>
  <si>
    <t>Borwein, Jonathan M.;Vanderwerff, Jon D.</t>
  </si>
  <si>
    <t>Convex functions</t>
  </si>
  <si>
    <t>The Principal's Guide to Instructional Improvement : Theory to Practice</t>
  </si>
  <si>
    <t>R&amp;L Education</t>
  </si>
  <si>
    <t>Krajewski, Robert</t>
  </si>
  <si>
    <t>Teachers - In-service training</t>
  </si>
  <si>
    <t>Handbook of Psychology, History of Psychology</t>
  </si>
  <si>
    <t>Weiner, Irving B.;Freedheim, Donald K.;Freedheim, Donald K.</t>
  </si>
  <si>
    <t>Psychology -- History.</t>
  </si>
  <si>
    <t>Handbook of Psychology, Clinical Psychology</t>
  </si>
  <si>
    <t>Weiner, Irving B.;Stricker, George;Widiger, Thomas A.;Weiner, Irving</t>
  </si>
  <si>
    <t>Clinical psychology.</t>
  </si>
  <si>
    <t>The Rank and File of 19th Century Major League Baseball : Biographies of 1,081 Players, Owners, Managers and Umpires</t>
  </si>
  <si>
    <t>Nemec, David</t>
  </si>
  <si>
    <t>796.3570922 B</t>
  </si>
  <si>
    <t>Baseball umpires - United States</t>
  </si>
  <si>
    <t>Historical Dictionary of Asian American Literature and Theater</t>
  </si>
  <si>
    <t>Scarecrow Press</t>
  </si>
  <si>
    <t>Historical Dictionaries of Literature and the Arts</t>
  </si>
  <si>
    <t>Xu, Wenying</t>
  </si>
  <si>
    <t>American literature - Asian American authors - Bio-bibliography</t>
  </si>
  <si>
    <t>The Columbia Guide to Central African Literature in English Since 1945</t>
  </si>
  <si>
    <t>Columbia University Press</t>
  </si>
  <si>
    <t>The Columbia Guides to Literature Since 1945</t>
  </si>
  <si>
    <t>Roscoe, Adrian</t>
  </si>
  <si>
    <t>Zimbabwean literature (English) -- History and criticism -- Handbooks, manuals, etc. ; Malawi literature (English) -- History and criticism -- Handbooks, manuals, etc. ; Zambian literature (English) -- History and criticism -- Handbooks, manuals, etc. ; Africa, Central -- Intellectual life.</t>
  </si>
  <si>
    <t>Medical Management of Eating Disorders : A Practical Handbook for Healthcare Professionals</t>
  </si>
  <si>
    <t>Birmingham, C. Laird;Treasure, Janet</t>
  </si>
  <si>
    <t>Eating disorders - Complications</t>
  </si>
  <si>
    <t>3-D A-to-Z : An Encyclopedic Dictionary</t>
  </si>
  <si>
    <t>Engineering; Engineering: Civil; Engineering: Electrical</t>
  </si>
  <si>
    <t>Image processing -- Dictionaries. ; Three-dimensional imaging -- Dictionaries. ; Three-dimensional display systems -- Dictionaries. ; 3-D films -- Dictionaries.</t>
  </si>
  <si>
    <t>Handbook of Psychology, Forensic Psychology</t>
  </si>
  <si>
    <t>Weiner, Irving B.;Otto, Randy K.;Weiner, Irving;Otto, Randy K.</t>
  </si>
  <si>
    <t>Health; Medicine; Psychology</t>
  </si>
  <si>
    <t>Forensic psychology.</t>
  </si>
  <si>
    <t>Handbook of Psychology, Educational Psychology</t>
  </si>
  <si>
    <t>Weiner, Irving B.;Reynolds, William M.;Miller, Gloria E.;Weiner, Irving</t>
  </si>
  <si>
    <t>Educational psychology.</t>
  </si>
  <si>
    <t>Handbook of Psychology, Assessment Psychology : Assessment Psychology</t>
  </si>
  <si>
    <t>Weiner, Irving B.;Graham, John R.;Naglieri, Jack A.;Weiner, Irving</t>
  </si>
  <si>
    <t>Psychology. ; Behavioral assessment.</t>
  </si>
  <si>
    <t>Brill Handbooks on Contemporary Religion : Handbook of New Religions and Cultural Production</t>
  </si>
  <si>
    <t>Brill Handbooks on Contemporary Religion Ser.</t>
  </si>
  <si>
    <t>Cusack, Carole;Norman, Alex</t>
  </si>
  <si>
    <t>Religion and culture</t>
  </si>
  <si>
    <t>This Day in American History</t>
  </si>
  <si>
    <t>Gross, Ernie;Worth, Roland H., Jr.</t>
  </si>
  <si>
    <t>United States -- History -- Chronology. ; United States -- History -- Miscellanea.</t>
  </si>
  <si>
    <t>Targeted Therapies in Breast Cancer : Targeted Therapies in Breast Cancer</t>
  </si>
  <si>
    <t>Oxford American Pocket Notes Ser.</t>
  </si>
  <si>
    <t>Burstein, Harold</t>
  </si>
  <si>
    <t>Breast -- Cancer -- Treatment -- Handbooks, manuals, etc. ; Drug targeting -- Handbooks, manuals, etc.</t>
  </si>
  <si>
    <t>The American Presidents Ranked by Performance, 1789-2012</t>
  </si>
  <si>
    <t>Faber, Charles F.;Faber, Richard B.</t>
  </si>
  <si>
    <t>973.09/9</t>
  </si>
  <si>
    <t>Presidents -- Rating of -- United States. ; Presidents -- United States -- History. ; Presidents -- United States -- Biography. ; Political leadership -- United States. ; United States -- Politics and government.</t>
  </si>
  <si>
    <t>The Genealogist's Internet : The Essential Guide to Researching Your Family History Online</t>
  </si>
  <si>
    <t>Bloomsbury Publishing Plc</t>
  </si>
  <si>
    <t>Christian, Peter</t>
  </si>
  <si>
    <t>Genealogy -- Computer network resources. ; Great Britain -- Genealogy -- Computer network resources.</t>
  </si>
  <si>
    <t>RSMeans Illustrated Construction Dictionary</t>
  </si>
  <si>
    <t>R. S. Means Company, Incorporated</t>
  </si>
  <si>
    <t>RSMeans Ser.</t>
  </si>
  <si>
    <t xml:space="preserve">RSMeans;Means Engineering Staff, </t>
  </si>
  <si>
    <t>Engineering: Civil; Engineering: Construction; Engineering</t>
  </si>
  <si>
    <t>624/.03</t>
  </si>
  <si>
    <t>Building -- Dictionaries. ; Construction industry -- Dictionaries.</t>
  </si>
  <si>
    <t>How Washington Actually Works for Dummies</t>
  </si>
  <si>
    <t xml:space="preserve">Rushford, Greg;Rushford, Greg </t>
  </si>
  <si>
    <t>Politics, Practical -- United States -- Popular works. ; United States -- Politics and government -- Popular works.</t>
  </si>
  <si>
    <t>Audit and Assurance Essentials : For Professional Accountancy Exams</t>
  </si>
  <si>
    <t>Bagshaw, Katharine</t>
  </si>
  <si>
    <t>Auditing</t>
  </si>
  <si>
    <t>Historical Dictionary of the Beat Movement</t>
  </si>
  <si>
    <t>Varner, Paul</t>
  </si>
  <si>
    <t>LITERARY CRITICISM / American / African American</t>
  </si>
  <si>
    <t>Depression</t>
  </si>
  <si>
    <t>The Facts Ser.</t>
  </si>
  <si>
    <t>Wasserman, Danuta</t>
  </si>
  <si>
    <t>Depression, Mental. ; Mental health -- Popular works.</t>
  </si>
  <si>
    <t>American Literature on Stage and Screen : 525 Works and Their Adaptations</t>
  </si>
  <si>
    <t>Hischak, Thomas S.</t>
  </si>
  <si>
    <t>American fiction - Film adaptations</t>
  </si>
  <si>
    <t>A Companion to World History</t>
  </si>
  <si>
    <t>Northrop, Douglas</t>
  </si>
  <si>
    <t>History -- Methodology. ; History -- Study and teaching. ; Historiography.</t>
  </si>
  <si>
    <t>NFL Head Coaches : A Biographical Dictionary, 1920-2011</t>
  </si>
  <si>
    <t>Maxymuk, John</t>
  </si>
  <si>
    <t>796.3320922 B</t>
  </si>
  <si>
    <t>Football coaches -- United States -- Biography -- Dictionaries. ; Coaches (Athletics) -- United States -- Biography.</t>
  </si>
  <si>
    <t>Encyclopedia of Identity</t>
  </si>
  <si>
    <t>Jackson, Ronald L., II</t>
  </si>
  <si>
    <t>Philosophy; Social Science</t>
  </si>
  <si>
    <t>Identity (Philosophical concept) ; Identity (Psychology) ; Group identity.</t>
  </si>
  <si>
    <t>Encyclopedia of Group Processes and Intergroup Relations</t>
  </si>
  <si>
    <t>Levine, John M.;Hogg, Michael</t>
  </si>
  <si>
    <t>Social groups -- Encyclopedias. ; Intergroup relations -- Encyclopedias.</t>
  </si>
  <si>
    <t>Encyclopedia of Health and Aging</t>
  </si>
  <si>
    <t>Markides, Kyriakos S.</t>
  </si>
  <si>
    <t>Health; Social Science</t>
  </si>
  <si>
    <t>Older people -- Health and hygiene -- Encyclopedias. ; Aging -- Encyclopedias.</t>
  </si>
  <si>
    <t>Encyclopedia of Death and the Human Experience</t>
  </si>
  <si>
    <t>Bryant, Clifton D.;Peck, Dennis L.</t>
  </si>
  <si>
    <t>Death</t>
  </si>
  <si>
    <t>Encyclopedia of Drug Policy : The War on Drugs Past, Present, and Future</t>
  </si>
  <si>
    <t>Kleiman, Mark A. R.;Hawdon, James E.</t>
  </si>
  <si>
    <t>Drug abuse -- Government policy -- United States -- Encyclopedias. ; Drug control -- United States -- Encyclopedias.</t>
  </si>
  <si>
    <t>Encyclopedia of Social Networks</t>
  </si>
  <si>
    <t>Barnett, George A.</t>
  </si>
  <si>
    <t>Social networks -- Encyclopedias. ; Online social networks.</t>
  </si>
  <si>
    <t>Encyclopedia of Education Law</t>
  </si>
  <si>
    <t>Russo, Charles</t>
  </si>
  <si>
    <t>Educational law and legislation -- United States -- Encyclopedias. ; Educational law and legislation -- United States -- Cases. ; Educational law and legislation -- United States -- History. ; Education -- United States -- Encyclopedias.</t>
  </si>
  <si>
    <t>Encyclopedia of Social Movement Media</t>
  </si>
  <si>
    <t>Downing, John D. H.</t>
  </si>
  <si>
    <t>Alternative mass media -- History -- 20th century -- Encyclopedias. ; Alternative mass media -- History -- 21st century -- Encyclopedias. ; Mass media -- Social aspects -- History -- 20th century -- Encyclopedias. ; Mass media -- Social aspects -- History -- 21st century -- Encyclopedias. ; Mass media -- Political aspects -- History -- 20th century -- Encyclopedias. ; Mass media -- Political aspects -- History -- 21st century -- Encyclopedias. ; Social movements -- History -- 20th century -- Encyclopedias.</t>
  </si>
  <si>
    <t>Encyclopedia of Victimology and Crime Prevention</t>
  </si>
  <si>
    <t xml:space="preserve">Fisher, Bonnie S. (Sue);Lab, Steven P.;Lab, Steven P. </t>
  </si>
  <si>
    <t>Victims of crimes -- United States -- Encyclopedias. ; Crime prevention -- United States -- Encyclopedias. ; Victims of crimes -- Encyclopedias. ; Crime prevention -- Encyclopedias.</t>
  </si>
  <si>
    <t>The SAGE Encyclopedia of Terrorism, Second Edition</t>
  </si>
  <si>
    <t>Martin, Gus</t>
  </si>
  <si>
    <t>Terrorism -- Encyclopedias. ; Terrorism -- United States -- Encyclopedias.</t>
  </si>
  <si>
    <t>Encyclopedia of Research Design</t>
  </si>
  <si>
    <t>Salkind, Neil J.</t>
  </si>
  <si>
    <t>General Works/Reference; Social Science</t>
  </si>
  <si>
    <t>Social sciences -- Statistical methods -- Encyclopedias. ; Social sciences -- Research -- Methodology -- Encyclopedias.</t>
  </si>
  <si>
    <t>Encyclopedia of Science and Technology Communication</t>
  </si>
  <si>
    <t>Priest, Susanna Horning</t>
  </si>
  <si>
    <t>Science; Science: General</t>
  </si>
  <si>
    <t>Science news -- United States. ; Communication in science -- United States. ; Communication of technical information -- United States. ; Science and state -- United States.</t>
  </si>
  <si>
    <t>Encyclopedia of Global Religion</t>
  </si>
  <si>
    <t xml:space="preserve">Juergensmeyer, Mark;Roof, Wade Clark;Hammond, Phillip E. </t>
  </si>
  <si>
    <t>Religions -- Encyclopedias. ; Religious life.</t>
  </si>
  <si>
    <t>Encyclopedia of Educational Reform and Dissent</t>
  </si>
  <si>
    <t>Hunt, Thomas C. (Caspar);Carper, James C.;Lasley, II, Thomas J., II;Raisch, C. (Chad) Daniel</t>
  </si>
  <si>
    <t>Educational change -- United States -- Encyclopedias. ; Critical pedagogy -- United States -- Encyclopedias.</t>
  </si>
  <si>
    <t>Encyclopedia of Substance Abuse Prevention, Treatment, and Recovery</t>
  </si>
  <si>
    <t>Fisher, Gary L.;Roget, Nancy A.</t>
  </si>
  <si>
    <t>Social Science; Psychology; Medicine; Health</t>
  </si>
  <si>
    <t>Substance abuse -- Encyclopedias. ; Medicine.</t>
  </si>
  <si>
    <t>Encyclopedia of Criminological Theory</t>
  </si>
  <si>
    <t>Cullen, Francis T.;Wilcox, Pamela K.</t>
  </si>
  <si>
    <t>Criminology -- Encyclopedias. ; Public welfare.</t>
  </si>
  <si>
    <t>Encyclopedia of Law Enforcement</t>
  </si>
  <si>
    <t>Sullivan, Larry E.;Rosen, Marie Simonetti;Schulz, Dorothy Moses;Haberfeld, Maria (Maki)</t>
  </si>
  <si>
    <t>Law enforcement -- Encyclopedias. ; Criminal justice, Administration of -- Encyclopedias.</t>
  </si>
  <si>
    <t>Encyclopedia of Power</t>
  </si>
  <si>
    <t>Dowding, Keith</t>
  </si>
  <si>
    <t>Power (Social sciences) -- Encyclopedias. ; Social sciences -- Encyclopedias.</t>
  </si>
  <si>
    <t>Encyclopedia of Gender and Society</t>
  </si>
  <si>
    <t>O'Brien, Jodi</t>
  </si>
  <si>
    <t>Women -- Encyclopedias. ; Men -- Encyclopedias. ; Social history -- 1970- -- Encyclopedias.</t>
  </si>
  <si>
    <t>Encyclopedia of Social Theory</t>
  </si>
  <si>
    <t>Sociology -- Encyclopedias. ; Sociology -- Philosophy -- Encyclopedias.</t>
  </si>
  <si>
    <t>Encyclopedia of Political Communication</t>
  </si>
  <si>
    <t>Kaid, Lynda Lee died April 13, 2011;Holtz-Bacha, Christina</t>
  </si>
  <si>
    <t>Communication in politics -- Encyclopedias.</t>
  </si>
  <si>
    <t>SAGE Brief Guide to Business Ethics</t>
  </si>
  <si>
    <t>Publishing, SAGE</t>
  </si>
  <si>
    <t>Philosophy; Business/Management</t>
  </si>
  <si>
    <t>Business ethics</t>
  </si>
  <si>
    <t>Encyclopedia of Political Theory</t>
  </si>
  <si>
    <t>Bevir, Mark</t>
  </si>
  <si>
    <t>Political science -- Encyclopedias. ; Political science -- Philosophy -- Encyclopedias.</t>
  </si>
  <si>
    <t>The War of 1812 : A Complete Chronology with Biographies of 63 General Officers</t>
  </si>
  <si>
    <t>973.5/2</t>
  </si>
  <si>
    <t>Generals -- United States -- Biography. ; United States -- History -- War of 1812 -- Biography. ; United States -- History -- War of 1812 -- Chronology. ; United States -- History -- War of 1812 -- Sources.</t>
  </si>
  <si>
    <t>The Musical Instrument Desk Reference : A Guide to How Band and Orchestral Instruments Work</t>
  </si>
  <si>
    <t>Pagliaro, Michael J.</t>
  </si>
  <si>
    <t>Bowed stringed instruments - Construction</t>
  </si>
  <si>
    <t>Energy : What Everyone Needs to Know®</t>
  </si>
  <si>
    <t>Goldemberg, Jose</t>
  </si>
  <si>
    <t>Environmental Studies; Economics; Engineering: Mechanical; Engineering</t>
  </si>
  <si>
    <t>Energy conservation. ; Energy consumption. ; Energy development. ; Energy industries. ; Power resources.</t>
  </si>
  <si>
    <t>A Companion to Women's Military History</t>
  </si>
  <si>
    <t>History of Warfare Ser.</t>
  </si>
  <si>
    <t>Hacker, Barton C.;Vining, Margaret</t>
  </si>
  <si>
    <t>Military history, Modern. ; Women and the military -- History. ; Women and war -- History.</t>
  </si>
  <si>
    <t>Historical Dictionary of Jazz</t>
  </si>
  <si>
    <t>Davis, John S.</t>
  </si>
  <si>
    <t>Jazz</t>
  </si>
  <si>
    <t>Wall Street : A History, Updated Edition</t>
  </si>
  <si>
    <t>Updated</t>
  </si>
  <si>
    <t>Geisst, Charles R.</t>
  </si>
  <si>
    <t>332.64/273</t>
  </si>
  <si>
    <t>New York Stock Exchange. ; Securities industry -- United States -- History. ; Stockbrokers -- United States. ; Wall Street (New York, N.Y.) -- History.</t>
  </si>
  <si>
    <t>The Silk Road : A New History</t>
  </si>
  <si>
    <t>Hansen, Valerie</t>
  </si>
  <si>
    <t>Historic sites -- Silk Road. ; Trade routes -- Asia, Central -- History. ; Trade routes -- Asia -- History. ; Silk Road -- History. ; Silk Road -- History -- Sources. ; Silk Road -- Description and travel. ; Silk Road -- History, Local.</t>
  </si>
  <si>
    <t>Encyclopedia of Curriculum Studies</t>
  </si>
  <si>
    <t>Kridel, Craig</t>
  </si>
  <si>
    <t>Curriculum planning -- Encyclopedias. ; Education.</t>
  </si>
  <si>
    <t>Encyclopedia of Family Health</t>
  </si>
  <si>
    <t>Craft-Rosenberg, Martha;Pehler, Shelley-Rae</t>
  </si>
  <si>
    <t>Family medicine -- Encyclopedias. ; Families -- Health and hygiene -- Encyclopedias.</t>
  </si>
  <si>
    <t>The Wiley-Blackwell Companion to Christian Mysticism</t>
  </si>
  <si>
    <t>Lamm, Julia A.</t>
  </si>
  <si>
    <t>Mysticism.</t>
  </si>
  <si>
    <t>Quotations for All Occasions</t>
  </si>
  <si>
    <t>Frank, Catherine</t>
  </si>
  <si>
    <t>Literature; General Works/Reference</t>
  </si>
  <si>
    <t>Quotations, American</t>
  </si>
  <si>
    <t>Essential Ethnographic Methods : A Mixed Methods Approach</t>
  </si>
  <si>
    <t>AltaMira Press</t>
  </si>
  <si>
    <t>Ethnographer's Toolkit, Second Edition</t>
  </si>
  <si>
    <t>Schensul, Jean J.;LeCompte, Margaret D.</t>
  </si>
  <si>
    <t>Ethnology - Research</t>
  </si>
  <si>
    <t>The Palgrave Handbook of Gender and Healthcare</t>
  </si>
  <si>
    <t>Kuhlmann, E.;Annandale, E.</t>
  </si>
  <si>
    <t>Medical care -- Sex differences. ; Health -- Sex differences. ; Social medicine. ; Discrimination in medical care.</t>
  </si>
  <si>
    <t>The Palgrave Handbook of Spirituality and Business</t>
  </si>
  <si>
    <t>Bouckaert, L.;Zsolnai, L.</t>
  </si>
  <si>
    <t>Business/Management; Religion</t>
  </si>
  <si>
    <t>201/.73</t>
  </si>
  <si>
    <t>Behavioral economics</t>
  </si>
  <si>
    <t>Handbook of Prosocial Education</t>
  </si>
  <si>
    <t>Rowman &amp; Littlefield Publishers</t>
  </si>
  <si>
    <t>Brown, Philip M.;Corrigan, Michael W.;Higgins-D'Alessandro, Ann</t>
  </si>
  <si>
    <t>REFERENCE / Handbooks &amp; Manuals</t>
  </si>
  <si>
    <t>Handbook of Participatory Video</t>
  </si>
  <si>
    <t>Milne, E-J, Ph.D;Mitchell, Claudia;de Lange, Naydene</t>
  </si>
  <si>
    <t>Video recording in ethnology</t>
  </si>
  <si>
    <t>The Cambridge Introduction to Samuel Taylor Coleridge</t>
  </si>
  <si>
    <t>Worthen, John</t>
  </si>
  <si>
    <t>Coleridge, Samuel Taylor, -- 1772-1834. ; Coleridge, Samuel Taylor, -- 1772-1834 -- Criticism and interpretation.</t>
  </si>
  <si>
    <t>The Cambridge Introduction to Thomas Mann</t>
  </si>
  <si>
    <t>Kontje, Todd</t>
  </si>
  <si>
    <t>Mann, Thomas, -- 1875-1955 -- Criticism and interpretation.</t>
  </si>
  <si>
    <t>The Cambridge Introduction to Charles Dickens</t>
  </si>
  <si>
    <t>Mee, Jon</t>
  </si>
  <si>
    <t>Dickens, Charles, -- 1812-1870 -- Criticism and interpretation. ; Dickens, Charles, -- 1812-1870 -- Literary style. ; Dickens, Charles, -- 1812-1870 -- Knowledge -- London (England) ; Dickens, Charles, -- 1812-1870 -- Political and social views. ; Dickens, Charles, -- 1812-1870 -- Adaptations.</t>
  </si>
  <si>
    <t>A Critical Introduction to Mao</t>
  </si>
  <si>
    <t>Cheek, Timothy</t>
  </si>
  <si>
    <t>Mao, Zedong, -- 1893-1976. ; China -- Politics and government -- 20th century.</t>
  </si>
  <si>
    <t>Health Care Reform and American Politics : What Everyone Needs to Know®, Revised and Updated Edition</t>
  </si>
  <si>
    <t>Jacobs, Lawrence R.;Skocpol, Theda</t>
  </si>
  <si>
    <t>Health care reform -- United States. ; Medical policy -- United States.</t>
  </si>
  <si>
    <t>The Makeover : Reality Television and Reflexive Audiences</t>
  </si>
  <si>
    <t>Critical Cultural Communication Ser.</t>
  </si>
  <si>
    <t>Sender, Katherine</t>
  </si>
  <si>
    <t>791.45/655</t>
  </si>
  <si>
    <t>Makeover television programs - History and criticism</t>
  </si>
  <si>
    <t>20th Century Jewish Religious Thought</t>
  </si>
  <si>
    <t>The Jewish Publication Society</t>
  </si>
  <si>
    <t>Cohen, Arthur A.;Mendes-Flohr, Paul</t>
  </si>
  <si>
    <t>Judaism -- Dictionaries.</t>
  </si>
  <si>
    <t>Dictionary of Jewish Words : A JPS Guide</t>
  </si>
  <si>
    <t>JPS</t>
  </si>
  <si>
    <t>JPS Desk Reference</t>
  </si>
  <si>
    <t>Eisenberg, Joyce;Scolnic, Ellen</t>
  </si>
  <si>
    <t>Religion; Language/Linguistics</t>
  </si>
  <si>
    <t>Judaism -- Terminology. ; Hebrew language -- Terms and phrases.</t>
  </si>
  <si>
    <t>Painters of the Renaissance</t>
  </si>
  <si>
    <t>The Renaissance Ser.</t>
  </si>
  <si>
    <t>Kuiper, Kathleen;Britannica Educational Publishing Staff</t>
  </si>
  <si>
    <t>Painting, Renaissance. ; Painters -- Europe -- Biography.</t>
  </si>
  <si>
    <t>The Birth of Rock and Roll : Music in the 1950S Through The 1960S</t>
  </si>
  <si>
    <t>Popular Music Through the Decades Ser.</t>
  </si>
  <si>
    <t>781.6609;781.6609/045;781.6609045</t>
  </si>
  <si>
    <t>Rock music -- United States -- To 1961 -- History and criticism -- Juvenile literature. ; Rock music -- United States -- 1961-1970 -- History and criticism -- Juvenile literature. ; Rock musicians -- United States -- Biography -- Juvenile literature.</t>
  </si>
  <si>
    <t>The Science of Nutrition</t>
  </si>
  <si>
    <t>Food and Society Ser.</t>
  </si>
  <si>
    <t>Science; Health; Science: Biology/Natural History</t>
  </si>
  <si>
    <t>Nutrition. ; Health.</t>
  </si>
  <si>
    <t>Taxes in America : What Everyone Needs to Know®</t>
  </si>
  <si>
    <t>Burman, Leonard E.;Slemrod, Joel</t>
  </si>
  <si>
    <t>Taxation -- United States.</t>
  </si>
  <si>
    <t>Antisemitism : A History</t>
  </si>
  <si>
    <t>Lindemann, Albert S.;Levy, Richard S.</t>
  </si>
  <si>
    <t>Antisemitism -- History.</t>
  </si>
  <si>
    <t>The Dance of Air and Sea : How oceans, weather, and life link together</t>
  </si>
  <si>
    <t>Taylor, Arnold H.</t>
  </si>
  <si>
    <t>Ocean-atmosphere interaction. ; Climatic changes.</t>
  </si>
  <si>
    <t>Dictionaries - An International Encyclopedia of Lexicography : Recent Developments with a Special Focus on Computational Lexicography</t>
  </si>
  <si>
    <t>De Gruyter, Inc.</t>
  </si>
  <si>
    <t>Handbücher Zur Sprach- und Kommunikationswissenschaft / Handbooks of Linguistics and Communication Science (HSK) Ser.</t>
  </si>
  <si>
    <t>Hausmann, Franz J.;Reichmann, Oskar;Wiegand, Herbert E.;Zgusta, Ladislav;Gouws, Rufus;Heid, Ulrich;Schweickard, Wolfgang;Wiegand, Herbert Ernst</t>
  </si>
  <si>
    <t>Computer Science/IT; Language/Linguistics</t>
  </si>
  <si>
    <t>Lexicography -- Encyclopedias. ; Encyclopedias and dictionaries -- Encyclopedias.</t>
  </si>
  <si>
    <t>Encyclopedia of English Language Bible Versions</t>
  </si>
  <si>
    <t>Taliaferro, Bradford B.</t>
  </si>
  <si>
    <t>Bible. -- English -- Versions -- Encyclopedias. ; Encyclopedias and dictionaries.</t>
  </si>
  <si>
    <t>Lexicon of Environmental Law : Les Definitions du Droit de L'environnement</t>
  </si>
  <si>
    <t>344.04/603</t>
  </si>
  <si>
    <t>Environmental law -- Dictionaries. ; Environmental law -- Terminology. ; English language -- Dictionaries -- French. ; French language -- Dictionaries -- English.</t>
  </si>
  <si>
    <t>A Companion to Roman Imperialism</t>
  </si>
  <si>
    <t>Rome - Foreign relations - 30 B.C.-476 A.D</t>
  </si>
  <si>
    <t>Brill's Companion to Horace : Brill's Companion to Horace</t>
  </si>
  <si>
    <t>Brill's Companions in Classical Studies</t>
  </si>
  <si>
    <t>Günther, Hans-Christian;Gunther, Hans-Christian</t>
  </si>
  <si>
    <t>Horace -- Criticism and interpretation.</t>
  </si>
  <si>
    <t>Dissertation Solutions : A Concise Guide to Planning, Implementing, and Surviving the Dissertation Process</t>
  </si>
  <si>
    <t>Axelrod, Bradley;Windell, James</t>
  </si>
  <si>
    <t>Proposal writing in research</t>
  </si>
  <si>
    <t>Neuro-Ophthalmology</t>
  </si>
  <si>
    <t>Thurtell, Matthew J.;Daroff, Robert B.;Tomsak, Robert L.</t>
  </si>
  <si>
    <t>Neuroophthalmology -- Case studies.</t>
  </si>
  <si>
    <t>Handbook Of Climate Change And Agroecosystems: Global And Regional Aspects And Implications — Joint Publication With The American Society Of Agronomy</t>
  </si>
  <si>
    <t>Icp Series On Climate Change Impacts, Adaptation, And Mitigation</t>
  </si>
  <si>
    <t>Hillel, Daniel;Rosenzweig, Cynthia</t>
  </si>
  <si>
    <t>Science; Science: Biology/Natural History; Agriculture</t>
  </si>
  <si>
    <t>Crops and climate. ; Climatic changes -- Environmental aspects. ; Agricultural ecology. ; Climate change mitigation.</t>
  </si>
  <si>
    <t>Handbook of the Psychology of Science</t>
  </si>
  <si>
    <t>Feist, Gregory;Gorman, Michael</t>
  </si>
  <si>
    <t>Science: General; Science</t>
  </si>
  <si>
    <t>501/.9</t>
  </si>
  <si>
    <t>Industrial engineering -- Congresses. ; Computer simulation -- Congresses. ; Information storage and retrieval systems -- Congresses. ; Software engineering -- Congresses.</t>
  </si>
  <si>
    <t>Making Women's Histories : Beyond National Perspectives</t>
  </si>
  <si>
    <t>Nadell, Pamela S.;Haulman, Kate</t>
  </si>
  <si>
    <t>Geography/Travel; Social Science</t>
  </si>
  <si>
    <t>Women -- Historiography. ; Sex role -- Historiography. ; World history -- Historiography. ; Historiography -- Social aspects. ; Historiography -- Political aspects. ; Women historians.</t>
  </si>
  <si>
    <t>A Companion to World War II</t>
  </si>
  <si>
    <t>Zeiler, Thomas W.;DuBois, Daniel M.</t>
  </si>
  <si>
    <t>World War, 1939-1945 ; World War, 1939-1945.</t>
  </si>
  <si>
    <t>A Dictionary of Literary Terms and Literary Theory</t>
  </si>
  <si>
    <t>Cuddon, J. A.;Habib, M. A. R.;Birchwood, Matthew;Dines, Martin;Fiske, Shanyn;Velickovic, Vedrana</t>
  </si>
  <si>
    <t>Literary form</t>
  </si>
  <si>
    <t>A Companion to Global Environmental History</t>
  </si>
  <si>
    <t>McNeill, J. R.;Stewart Mauldin, Erin;Mauldin, Erin Stewart</t>
  </si>
  <si>
    <t>Environmental Studies; Social Science</t>
  </si>
  <si>
    <t>Environmental protection - History</t>
  </si>
  <si>
    <t>Dictionary of DNA and Genome Technology</t>
  </si>
  <si>
    <t>Singleton, Paul</t>
  </si>
  <si>
    <t>660.6/503</t>
  </si>
  <si>
    <t>Genomics - English</t>
  </si>
  <si>
    <t>A Companion to the Historical Film</t>
  </si>
  <si>
    <t xml:space="preserve">Rosenstone, Robert A.;Parvulescu, Constantin;Rosenstone, Robert A ;Parvulescu, Constantin </t>
  </si>
  <si>
    <t>791.43/658</t>
  </si>
  <si>
    <t>Historical films--History and criticism.</t>
  </si>
  <si>
    <t>The Handbook of English for Specific Purposes</t>
  </si>
  <si>
    <t>Paltridge, Brian;Starfield, Sue</t>
  </si>
  <si>
    <t>English language -- Study and teaching.</t>
  </si>
  <si>
    <t>Dictionary of Industrial Terms</t>
  </si>
  <si>
    <t>Nwaoha, Chikezie;Holloway, Michael D.;Holloway, Michael D.</t>
  </si>
  <si>
    <t>Engineering: Manufacturing; Engineering</t>
  </si>
  <si>
    <t>Production engineering--Dictionaries.</t>
  </si>
  <si>
    <t>Called to Serve : A History of Nuns in America</t>
  </si>
  <si>
    <t>McGuinness, Margaret M.</t>
  </si>
  <si>
    <t>271/.90073</t>
  </si>
  <si>
    <t>Monastic and religious life of women - United States - History</t>
  </si>
  <si>
    <t>The Wiley-Blackwell Handbook of the Psychology of Leadership, Change, and Organizational Development</t>
  </si>
  <si>
    <t>Wiley-Blackwell Handbooks in Organizational Psychology Ser.</t>
  </si>
  <si>
    <t>Leonard, H. Skipton;Lewis, Rachel;Freedman, Arthur M.;Passmore, Jonathan</t>
  </si>
  <si>
    <t>Leadership - Psychological aspects</t>
  </si>
  <si>
    <t>Psychiatry and Clinical Neuroscience</t>
  </si>
  <si>
    <t>Zorumski, Charles;Rubin, Eugene</t>
  </si>
  <si>
    <t>Psychiatry. ; Neurology.</t>
  </si>
  <si>
    <t>Encyclopedia of Television Pilots, 1937-2012</t>
  </si>
  <si>
    <t>Business/Management; Fine Arts</t>
  </si>
  <si>
    <t>Television pilot programs -- United States -- Encyclopedias. ; Television programs -- United States -- Plots, themes, etc. -- Encyclopedias.</t>
  </si>
  <si>
    <t>John F. Kennedy in Quotations : A Topical Dictionary, with Sources</t>
  </si>
  <si>
    <t>Frost, David B.;Kennedy, John F.;Frost, David B</t>
  </si>
  <si>
    <t>History; General Works/Reference</t>
  </si>
  <si>
    <t>Kennedy, John F. -- (John Fitzgerald), -- 1917-1963 -- Quotations -- Dictionaries. ; Quotations, American -- Dictionaries. ; United States -- Politics and government -- 1961-1963 -- Quotations, maxims, etc. -- Dictionaries. ; United States -- Politics and government -- 1953-1961 -- Quotations, maxims, etc. -- Dictionaries.</t>
  </si>
  <si>
    <t>Encyclopedia of the Environment in American Literature</t>
  </si>
  <si>
    <t>Hamilton, Geoff;Jones, Brian</t>
  </si>
  <si>
    <t>American literature -- History and criticism -- Encyclopedias. ; Environmental literature -- United States -- History and criticism -- Encyclopedias. ; American literature -- Bio-bibliography. ; Environmental protection in literature. ; Environmentalism in literature. ; Nature in literature.</t>
  </si>
  <si>
    <t>New Microfinance Handbook : A Financial Market System Perspective</t>
  </si>
  <si>
    <t>World Bank Publications</t>
  </si>
  <si>
    <t>Ledgerwood, Joanna;Earne, Julie;Nelson, Candace</t>
  </si>
  <si>
    <t>Microfinance. ; Financial institutions. ; Poor -- Finance, Personal.</t>
  </si>
  <si>
    <t>Punch and Judy in 19th Century America : A History and Biographical Dictionary</t>
  </si>
  <si>
    <t>Howard, Ryan</t>
  </si>
  <si>
    <t>Punch and Judy. ; Puppet theater -- United States -- History -- 19th century. ; Theater -- United States -- History -- 19th century. ; Theatrical producers and directors -- United States -- Biography -- Dictionaries. ; Actors -- United States -- Biography -- Dictionaries.</t>
  </si>
  <si>
    <t>The United States of the United Races : A Utopian History of Racial Mixing</t>
  </si>
  <si>
    <t>Carter, Greg</t>
  </si>
  <si>
    <t>Racially mixed people -- United States -- History. ; Miscegenation -- United States -- History. ; United States -- Race relations -- History. ; Post-racialism -- United States.</t>
  </si>
  <si>
    <t>Reproductive Politics : What Everyone Needs to Know</t>
  </si>
  <si>
    <t>Solinger, Rickie</t>
  </si>
  <si>
    <t>363.9/60973</t>
  </si>
  <si>
    <t>Reproductive rights -- United States. ; Contraception -- Government policy -- United States. ; Contraception -- Law and legislation -- United States. ; Women's rights -- United States.</t>
  </si>
  <si>
    <t>Continuum Encyclopedia of Popular Music of the World : Genres - North America</t>
  </si>
  <si>
    <t>Encyclopedia of Popular Music of the World Ser.</t>
  </si>
  <si>
    <t>Horn, David;Shepherd, John</t>
  </si>
  <si>
    <t>Popular music genres -- North America.</t>
  </si>
  <si>
    <t>A Handbook of the World's Conifers</t>
  </si>
  <si>
    <t>Farjon, Aljos</t>
  </si>
  <si>
    <t>Conifers -- Handbooks, manuals, etc. ; Gymnosperms -- Handbooks, manuals, etc.</t>
  </si>
  <si>
    <t>Oxford Handbook of Medical Sciences : Oxford Handbook of Medical Sciences</t>
  </si>
  <si>
    <t>Oxford Medical Handbooks Ser.</t>
  </si>
  <si>
    <t xml:space="preserve">Wilkins, Robert;Cross, Simon;Megson, Ian;Meredith, David </t>
  </si>
  <si>
    <t>Medical sciences -- Handbooks, manuals, etc.</t>
  </si>
  <si>
    <t>American Military Transport Aircraft Since 1925</t>
  </si>
  <si>
    <t>Johnson, E. R.;Jones, Lloyd S.</t>
  </si>
  <si>
    <t>Engineering; Engineering: General; Military Science</t>
  </si>
  <si>
    <t>Transport planes -- United States. ; Airplanes, Military -- United States. ; Airlift, Military -- United States -- History.</t>
  </si>
  <si>
    <t>The World Scientific Handbook of Energy</t>
  </si>
  <si>
    <t>World Scientific Publishing Co Pte Ltd</t>
  </si>
  <si>
    <t>World Scientific Series On Nonlinear Science Series A</t>
  </si>
  <si>
    <t>Crawley, Gerard M.</t>
  </si>
  <si>
    <t>Engineering: General; Engineering; Engineering: Mechanical</t>
  </si>
  <si>
    <t>Power resources -- Handbooks, manuals, etc.</t>
  </si>
  <si>
    <t>Concise Dictionary of Social and Cultural Anthropology</t>
  </si>
  <si>
    <t>Morris, Mike</t>
  </si>
  <si>
    <t>Ethnology -- Dictionaries. ; Anthropology -- Dictionaries.</t>
  </si>
  <si>
    <t>The Economic War Against Cuba : A Historical and Legal Perspective on the U. S. Blockade</t>
  </si>
  <si>
    <t>Monthly Review Press</t>
  </si>
  <si>
    <t xml:space="preserve">Lamrani, Salim;Oberg, Larry </t>
  </si>
  <si>
    <t>Political Science; Law</t>
  </si>
  <si>
    <t>Economic sanctions, American -- Cuba -- History -- 20th century. ; Embargo -- Cuba. ; United States -- Foreign economic relations -- Cuba. ; Cuba -- Foreign economic relations -- United States.</t>
  </si>
  <si>
    <t>The Food Safety Hazard Guidebook</t>
  </si>
  <si>
    <t>Royal Society of Chemistry</t>
  </si>
  <si>
    <t>Lawley, Richard;Curtis, Laurie;Davis, Judy</t>
  </si>
  <si>
    <t>Science; Science: Biology/Natural History; Engineering: Chemical; Engineering</t>
  </si>
  <si>
    <t>Food poisoning</t>
  </si>
  <si>
    <t>An Introduction to International Refugee Law</t>
  </si>
  <si>
    <t>Islam, Rafiqul;Bhuiyan, Jahid Hossain</t>
  </si>
  <si>
    <t>Refugees -- Legal status, laws, etc. ; Refugees -- Protection -- International cooperation.</t>
  </si>
  <si>
    <t>From Bombay to Bollywood : The Making of a Global Media Industry</t>
  </si>
  <si>
    <t>Postmillennial Pop Ser.</t>
  </si>
  <si>
    <t>Punathambekar, Aswin</t>
  </si>
  <si>
    <t>Social Science; Fine Arts</t>
  </si>
  <si>
    <t>Motion picture industry -- India. ; Motion pictures -- India.</t>
  </si>
  <si>
    <t>China in the 21st Century : What Everyone Needs to Know</t>
  </si>
  <si>
    <t>Wasserstrom, Jeffrey N.</t>
  </si>
  <si>
    <t>China -- History -- 21st century.</t>
  </si>
  <si>
    <t>Blackwell's Nursing Dictionary</t>
  </si>
  <si>
    <t>Freshwater, Dawn;Masiln-Prothero, Sian</t>
  </si>
  <si>
    <t>Nursing</t>
  </si>
  <si>
    <t>Nursing -- Dictionaries. ; Nursing.</t>
  </si>
  <si>
    <t>Advanced Calculus, An Introduction To Mathematical Analysis</t>
  </si>
  <si>
    <t>Zaidman, Samuel</t>
  </si>
  <si>
    <t>Mathematical analysis. ; Calculus.</t>
  </si>
  <si>
    <t>Legal Pluralism and Empires, 1500-1850</t>
  </si>
  <si>
    <t>Benton, Lauren;Ross, Richard J.</t>
  </si>
  <si>
    <t>342/.04130903</t>
  </si>
  <si>
    <t>Colonies -- Law and legislation -- Congresses. ; Legal polycentricity -- Congresses.</t>
  </si>
  <si>
    <t>The United Kingdom - England : Ireland</t>
  </si>
  <si>
    <t>The Britannica Guide to Countries of the European Union Ser.</t>
  </si>
  <si>
    <t>Wallenfeldt, Jeff;Wallenfeldt, Jeff</t>
  </si>
  <si>
    <t>England -- Juvenile literature. ; Great Britain -- Juvenile literature.</t>
  </si>
  <si>
    <t>France - Britannica Guide to Countries of the European Union : Ireland</t>
  </si>
  <si>
    <t>Britannica Educational Publishing Staff;Ray, Michael</t>
  </si>
  <si>
    <t>European Union -- France -- Juvenile literature. ; France -- Juvenile literature.</t>
  </si>
  <si>
    <t>Germany - Britannica Guide to Countries of the European Union : Ireland</t>
  </si>
  <si>
    <t>European Union -- Germany -- Juvenile literature. ; Germany -- Juvenile literature.</t>
  </si>
  <si>
    <t>Italy - Britannica Guide to Countries of the European Union</t>
  </si>
  <si>
    <t>Britannica Educational Publishing Staff;Murray, Lorraine</t>
  </si>
  <si>
    <t>European Union -- Italy -- Juvenile literature. ; Italy -- Juvenile literature.</t>
  </si>
  <si>
    <t>Portugal and Spain - Britannica Guide to Countries of the European Union : Ireland</t>
  </si>
  <si>
    <t>European Union -- Portugal -- Juvenile literature. ; European Union -- Spain -- Juvenile literature. ; Portugal -- Juvenile literature. ; Spain -- Juvenile literature.</t>
  </si>
  <si>
    <t>Bulgaria, Hungary, Romania, the Czech Republic, and Slovakia - Britannica Guide to Countries of the European Union : Ireland</t>
  </si>
  <si>
    <t>Europe, Central -- Encyclopedias.</t>
  </si>
  <si>
    <t>Denmark, Finland, and Sweden - Britannica Guide to Countries of the European Union : Ireland</t>
  </si>
  <si>
    <t>Britannica Educational Publishing;McKenna, Amy;Britannica Educational Publishing Staff</t>
  </si>
  <si>
    <t>Denmark -- Juvenile literature. ; Finland -- Juvenile literature. ; Sweden -- Juvenile literature.</t>
  </si>
  <si>
    <t>Austria, Croatia, and Slovenia - Britannica Guide to Countries of the European Union : Ireland</t>
  </si>
  <si>
    <t>European Union -- Austria -- Juvenile literature. ; European Union -- Croatia -- Juvenile literature. ; European Union -- Slovenia -- Juvenile literature. ; Austria -- Juvenile literature. ; Croatia -- Juvenile literature. ; Slovenia -- Juvenile literature.</t>
  </si>
  <si>
    <t>Estonia, Latvia, Lithuania, and Poland - Britannica Guide to Countries of the European Union : Ireland</t>
  </si>
  <si>
    <t>Britannica Educational Publishing Staff;McKenna, Amy</t>
  </si>
  <si>
    <t>Baltic States -- Juvenile literature. ; Estonia -- Juvenile literature. ; Latvia -- Juvenile literature. ; Lithuania -- Juvenile literature. ; Poland -- Juvenile literature.</t>
  </si>
  <si>
    <t>Cyprus, Greece, and Malta - Britannica Guide to Countries of the European Union : Ireland</t>
  </si>
  <si>
    <t>Tesch, Noah;Tesch, Noah</t>
  </si>
  <si>
    <t>Cyprus -- Encyclopedias. ; Greece -- Encyclopedias. ; Malta -- Encyclopedias.</t>
  </si>
  <si>
    <t>Belgium, Luxembourg, and the Netherlands - Britannica Guide to Countries of the European Union : Ireland</t>
  </si>
  <si>
    <t>Benelux countries -- History.</t>
  </si>
  <si>
    <t>Classical Authors - 500 BCE to 1100 CE : Classical Authors: 500 Bce to 1100 Ce</t>
  </si>
  <si>
    <t>The Britannica Guide to Authors Ser.</t>
  </si>
  <si>
    <t>Britannica Educational Publishing Staff;Kuiper, Kathleen</t>
  </si>
  <si>
    <t>Authors, Classical -- Biography. ; Classical literature -- History and criticism. ; Literature, Ancient -- History and criticism. ; Authorship -- History -- To 1500.</t>
  </si>
  <si>
    <t>Authors of the Medieval and Renaissance Eras, 1100 to 1660 : Authors of the Enlightenment: 1660 To 1800</t>
  </si>
  <si>
    <t>820.9/001</t>
  </si>
  <si>
    <t>Authorship -- History -- To 1500. ; Authorship -- History -- 17th century. ; Authors, Medieval. ; Creation (Literary, artistic, etc.) -- History -- To 1500. ; Creation (Literary, artistic, etc.) -- History -- 17th century.</t>
  </si>
  <si>
    <t>Authors of the Enlightenment, 1660 to 1800 : Authors of the Enlightenment: 1660 To 1800</t>
  </si>
  <si>
    <t>Britannica Educational Publishing Staff;Luebering, J.E.</t>
  </si>
  <si>
    <t>809/.03;B</t>
  </si>
  <si>
    <t>Authors -- 17th century -- Biography. ; Authors -- 18th century -- Biography. ; Literature, Modern -- 17th century -- Bio-bibliography. ; Literature -- 18th century -- Bio-bibliography. ; Authorship -- History -- 17th century. ; Authorship -- History -- 18th century.</t>
  </si>
  <si>
    <t>Authors of the 19th Century : Authors of the Enlightenment: 1660 To 1800</t>
  </si>
  <si>
    <t>809/.034</t>
  </si>
  <si>
    <t>Authors -- 19th century -- Biography. ; Literature, Modern -- 19th century -- History and criticism. ; Authorship -- History -- 19th century.</t>
  </si>
  <si>
    <t>Authors of the Early to Mid-20th Century : Authors of the Enlightenment: 1660 To 1800</t>
  </si>
  <si>
    <t>809/.04</t>
  </si>
  <si>
    <t>Authors -- 20th century -- Biography. ; Authorship -- History -- 20th century. ; Literature, Modern -- 20th century -- Bio-bibliography.</t>
  </si>
  <si>
    <t>Contemporary Authors - 1945 to the Present : Contemporary Authors: 1945 to the Present</t>
  </si>
  <si>
    <t>808/.045;B</t>
  </si>
  <si>
    <t>Authors -- 20th century -- Biography. ; Literature, Modern -- 20th century -- History and criticism. ; Authorship -- History -- 20th century.</t>
  </si>
  <si>
    <t>Explorers in the 20th and 21st Centuries : From Auguste Piccard to James Cameron</t>
  </si>
  <si>
    <t>The Britannica Guide to Explorers and Adventurers Ser.</t>
  </si>
  <si>
    <t>Britannica Educational Publishing Staff;Pletcher, Kenneth</t>
  </si>
  <si>
    <t>910.92/2</t>
  </si>
  <si>
    <t>Explorers -- Biography -- Juvenile literature. ; Discoveries in geography -- Juvenile literature.</t>
  </si>
  <si>
    <t>Pandemics : What Everyone Needs to Know</t>
  </si>
  <si>
    <t>Doherty, Peter C.</t>
  </si>
  <si>
    <t>Social Science; Health; Medicine</t>
  </si>
  <si>
    <t>Epidemics -- History. ; World health.</t>
  </si>
  <si>
    <t>1929 : Mapping the Jewish World</t>
  </si>
  <si>
    <t>Goldstein-Goren Series in American Jewish History Ser.</t>
  </si>
  <si>
    <t>Diner, Hasia R.;Estraikh, Gennady</t>
  </si>
  <si>
    <t>Jews -- United States -- History -- 20th century. ; Jews -- History -- 20th century. ; Jews -- United States -- Politics and government -- 20th century. ; Jews -- Politics and government -- 20th century. ; Jews -- United States -- Intellectual life -- 20th century. ; Jews -- Intellectual life -- 20th century. ; Jews -- United States -- Social life and customs -- 20th century.</t>
  </si>
  <si>
    <t>Biographical Dictionary of the People's Republic of China</t>
  </si>
  <si>
    <t>Song, Yuwu</t>
  </si>
  <si>
    <t>China -- History -- 1949- -- Biography -- Dictionaries.</t>
  </si>
  <si>
    <t>The Climate Crisis : An Introductory Guide to Climate Change</t>
  </si>
  <si>
    <t>Archer, David;Rahmstorf, Stefan</t>
  </si>
  <si>
    <t>Science: Physics; Science: Geology; Science</t>
  </si>
  <si>
    <t>Climatic changes - Government policy</t>
  </si>
  <si>
    <t>Cold War : An International History</t>
  </si>
  <si>
    <t>Westview Press</t>
  </si>
  <si>
    <t>Fink, Carole K.</t>
  </si>
  <si>
    <t>909.82/5</t>
  </si>
  <si>
    <t>Cold War. ; World politics -- 1945-1989. ; Cold War -- Influence.</t>
  </si>
  <si>
    <t>The Guidebook to Sociolinguistics</t>
  </si>
  <si>
    <t>Introducing Linguistics Ser.</t>
  </si>
  <si>
    <t>Bell, Allan</t>
  </si>
  <si>
    <t>Social Science; Language/Linguistics</t>
  </si>
  <si>
    <t>Sociolinguistics. ; Linguistics.</t>
  </si>
  <si>
    <t>The Palgrave Handbook of Olympic Studies</t>
  </si>
  <si>
    <t>Lenskyj, H.;Wagg, S.</t>
  </si>
  <si>
    <t>Social Science; Sport &amp;amp; Recreation</t>
  </si>
  <si>
    <t>Sports</t>
  </si>
  <si>
    <t>Food Politics : What Everyone Needs to Know®</t>
  </si>
  <si>
    <t>Paarlberg, Robert</t>
  </si>
  <si>
    <t>Business/Management; Agriculture; Economics</t>
  </si>
  <si>
    <t>338.1/9</t>
  </si>
  <si>
    <t>Agriculture and state. ; Food supply. ; Food -- Marketing. ; Nutrition policy.</t>
  </si>
  <si>
    <t>Revolutionary Medicine : The Founding Fathers and Mothers in Sickness and in Health</t>
  </si>
  <si>
    <t>Abrams, Jeanne E.</t>
  </si>
  <si>
    <t>Founding Fathers of the United States. ; Public health -- Philosophy. ; Public health -- United States -- History -- 18th century. ; Public health -- United States -- History -- 19th century. ; Medical care -- United States -- History -- 18th century. ; Medical care -- United States -- History -- 19th century.</t>
  </si>
  <si>
    <t>The Princeton Dictionary of Buddhism</t>
  </si>
  <si>
    <t>Princeton University Press</t>
  </si>
  <si>
    <t>Buswell, Robert E., Jr.;Lopez, Donald S., Jr.;Buswell, Robert E.;Lopez, Donald S.</t>
  </si>
  <si>
    <t>Buddhism -- Dictionaries.</t>
  </si>
  <si>
    <t>Medical Decision Making : A Physician's Guide</t>
  </si>
  <si>
    <t>Schwartz, Alan;Bergus, George</t>
  </si>
  <si>
    <t>Patient Participation</t>
  </si>
  <si>
    <t>Kel Richards' Dictionary of Phrase and Fable</t>
  </si>
  <si>
    <t>NewSouth</t>
  </si>
  <si>
    <t>Richards, Kel</t>
  </si>
  <si>
    <t>Air conditioning. ; Heating. ; Ventilation.</t>
  </si>
  <si>
    <t>Christmas Encyclopedia</t>
  </si>
  <si>
    <t>Crump, William D.</t>
  </si>
  <si>
    <t>Christmas -- Encyclopedias.</t>
  </si>
  <si>
    <t>Encyclopedia of Fairies in World Folklore and Mythology</t>
  </si>
  <si>
    <t>Social Science; Philosophy</t>
  </si>
  <si>
    <t>Fairies -- Encyclopedias.</t>
  </si>
  <si>
    <t>Servants of Allah : African Muslims Enslaved in the Americas</t>
  </si>
  <si>
    <t>Diouf, Sylviane A.</t>
  </si>
  <si>
    <t>305.6/971073</t>
  </si>
  <si>
    <t>Slaves -- Religious life -- United States -- History. ; Slaves -- Religious life -- America -- History. ; Muslims, Black -- United States -- History. ; Muslims, Black -- American -- History. ; African Americans -- History -- To 1863.</t>
  </si>
  <si>
    <t>Encyclopedia of Nuclear Physics and Its Applications</t>
  </si>
  <si>
    <t>Encyclopedia of Applied Physics Ser.</t>
  </si>
  <si>
    <t>Stock, Reinhard</t>
  </si>
  <si>
    <t>Nuclear physics -- Encyclopedias.</t>
  </si>
  <si>
    <t>A Performer's Guide to Renaissance Music, Second Edition</t>
  </si>
  <si>
    <t>Indiana University Press</t>
  </si>
  <si>
    <t>Publications of the Early Music Institute Ser.</t>
  </si>
  <si>
    <t>Kite-Powell, Jeffery</t>
  </si>
  <si>
    <t>781.4/309031</t>
  </si>
  <si>
    <t>Performance practice (Music) - History - 16th century</t>
  </si>
  <si>
    <t>Hanukkah in America : A History</t>
  </si>
  <si>
    <t>Ashton, Dianne</t>
  </si>
  <si>
    <t>Hanukkah -- United States. ; Judaism -- United States -- History -- 21st century. ; Judaism -- United States.</t>
  </si>
  <si>
    <t>Hydrofracking : What Everyone Needs to Know®</t>
  </si>
  <si>
    <t>Prud'homme, Alex</t>
  </si>
  <si>
    <t>Engineering; Engineering: Mining</t>
  </si>
  <si>
    <t>Hydraulic fracturing -- Popular works. ; Hydraulic fracturing. ; Oil wells -- Hydraulic fracturing -- Popular works. ; Oil wells -- Hydraulic fracturing. ; Shale gas reservoirs -- Popular works. ; Shale gas reservoirs.</t>
  </si>
  <si>
    <t>ALA Glossary of Library and Information Science</t>
  </si>
  <si>
    <t>American Library Association</t>
  </si>
  <si>
    <t>Levine-Clark, Michael;Carter Dean, Toni</t>
  </si>
  <si>
    <t>Library Science</t>
  </si>
  <si>
    <t>Comparative management. ; Management -- Cross-cultural studies.</t>
  </si>
  <si>
    <t>Essential Ornithology</t>
  </si>
  <si>
    <t>Scott, Graham</t>
  </si>
  <si>
    <t>Ornithology. ; Birds.</t>
  </si>
  <si>
    <t>Cybersecurity and Cyberwar : What Everyone Needs to Know®</t>
  </si>
  <si>
    <t>Friedman, Allan;Singer, P. W.;Singer, P. W.</t>
  </si>
  <si>
    <t>Computer security -- United States. ; Computer networks -- Security measures -- United States. ; Cyberspace -- Security measures -- United States. ; Cyberterrorism -- United States -- Prevention. ; Information warfare -- United States -- Prevention.</t>
  </si>
  <si>
    <t>Brill's Companion to Sophocles</t>
  </si>
  <si>
    <t>Markantonatos, Andreas</t>
  </si>
  <si>
    <t>882/.01</t>
  </si>
  <si>
    <t>Sophocles -- Criticism and interpretation. ; Greek drama -- History and criticism.</t>
  </si>
  <si>
    <t>Slavery's Exiles : The Story of the American Maroons</t>
  </si>
  <si>
    <t>Maroons - Southern States - History</t>
  </si>
  <si>
    <t>Administrative Law : Administrative Law</t>
  </si>
  <si>
    <t>Clarendon Law Ser.</t>
  </si>
  <si>
    <t>Cane, Peter</t>
  </si>
  <si>
    <t>Judicial review of administrative acts -- Great Britain. ; Administrative law -- Great Britain.</t>
  </si>
  <si>
    <t>Introduction to Power Electronics</t>
  </si>
  <si>
    <t>Artech House</t>
  </si>
  <si>
    <t>Chappell, Paul H.</t>
  </si>
  <si>
    <t>Engineering: Electrical; Engineering</t>
  </si>
  <si>
    <t>Power electronics.</t>
  </si>
  <si>
    <t>A Guide to Online Course Design : Strategies for Student Success</t>
  </si>
  <si>
    <t>Stavredes, Tina;Herder, Tiffany</t>
  </si>
  <si>
    <t>371.33/44678</t>
  </si>
  <si>
    <t>Web-based instruction -- Design. ; College teaching. ; Distance education.</t>
  </si>
  <si>
    <t>Phantom Limb : Amputation, Embodiment, and Prosthetic Technology</t>
  </si>
  <si>
    <t>Biopolitics Ser.</t>
  </si>
  <si>
    <t>Crawford, Cassandra S.</t>
  </si>
  <si>
    <t>SOCIAL SCIENCE / Anthropology / Physical</t>
  </si>
  <si>
    <t>A Dictionary of Chemical Engineering</t>
  </si>
  <si>
    <t>Oxford Quick Reference</t>
  </si>
  <si>
    <t>Schaschke, Carl</t>
  </si>
  <si>
    <t>Engineering; Engineering: Chemical</t>
  </si>
  <si>
    <t>Chemical engineering -- Dictionaries.</t>
  </si>
  <si>
    <t>Evaluation of Parenting Capacity in Child Protection</t>
  </si>
  <si>
    <t>Best Practices for Forensic Mental Health Assessments Ser.</t>
  </si>
  <si>
    <t>Budd, Karen S.;Connell, Mary;Clark, Jennifer R.</t>
  </si>
  <si>
    <t>Social Science; Medicine; Health</t>
  </si>
  <si>
    <t>Forensic psychiatry. ; Child welfare.</t>
  </si>
  <si>
    <t>Children's Rights under and the Law</t>
  </si>
  <si>
    <t>Davis, Samuel M.</t>
  </si>
  <si>
    <t>346.7301/35</t>
  </si>
  <si>
    <t>United States. -- Supreme Court. ; Children -- Legal status, laws, etc. -- United States. ; Children's rights -- United States. ; Parent and child (Law) -- United States. ; Juvenile justice, Administration of -- United States.</t>
  </si>
  <si>
    <t>Student Engagement Handbook : Practice in Higher Education</t>
  </si>
  <si>
    <t>Dunne, Elisabeth;Owen, Derfel</t>
  </si>
  <si>
    <t>Motivation in education. ; Effective teaching. ; Academic achievement.</t>
  </si>
  <si>
    <t>Encyclopedia of Philosophers on Religion</t>
  </si>
  <si>
    <t>Verkamp, Bernard J.</t>
  </si>
  <si>
    <t>210.92/2</t>
  </si>
  <si>
    <t>Religion - Philosophy</t>
  </si>
  <si>
    <t>British and Irish Poets : A Biographical Dictionary, 449-2006</t>
  </si>
  <si>
    <t>Stewart, William;Barfield, Steven</t>
  </si>
  <si>
    <t>821.09 B</t>
  </si>
  <si>
    <t>English poetry - Welsh authors</t>
  </si>
  <si>
    <t>Peter Carey : A Literary Companion</t>
  </si>
  <si>
    <t>Snodgrass, Mary Ellen</t>
  </si>
  <si>
    <t>823/.914</t>
  </si>
  <si>
    <t>Carey, Peter - Criticism and interpretation</t>
  </si>
  <si>
    <t>A Biographical Dictionary of the Baseball Hall of Fame</t>
  </si>
  <si>
    <t>Skipper, John C.</t>
  </si>
  <si>
    <t>796.357/092/273 B</t>
  </si>
  <si>
    <t>National Baseball Hall of Fame and Museum -- History. ; Baseball players -- United States -- Biography -- Dictionaries. ; Baseball players -- United States -- Statistics.</t>
  </si>
  <si>
    <t>Alternate Names of Places : A Worldwide Dictionary</t>
  </si>
  <si>
    <t>Gazetteers</t>
  </si>
  <si>
    <t>Encyclopedia of Capital Punishment in the United States</t>
  </si>
  <si>
    <t>Palmer, Louis J., Jr.</t>
  </si>
  <si>
    <t>364.66/0973/03</t>
  </si>
  <si>
    <t>Capital punishment - United States</t>
  </si>
  <si>
    <t>Encyclopedia of Abortion in the United States</t>
  </si>
  <si>
    <t>Palmer, Louis J., Jr.;Palmer, Xueyan Z.</t>
  </si>
  <si>
    <t>363.460973/03</t>
  </si>
  <si>
    <t>Abortion - United States</t>
  </si>
  <si>
    <t>Encyclopedia of African American Actresses in Film and Television</t>
  </si>
  <si>
    <t>McCann, Bob</t>
  </si>
  <si>
    <t>791.4302/8092396073</t>
  </si>
  <si>
    <t>African American actresses</t>
  </si>
  <si>
    <t>Illustrated Dictionary of the Third Reich</t>
  </si>
  <si>
    <t>Lepage, Jean-Denis G.G.</t>
  </si>
  <si>
    <t>Hitler, Adolf, -- 1889-1945 -- Dictionaries. ; National socialism -- Dictionaries. ; World War, 1939-1945 -- Dictionaries. ; Germany -- History -- 1933-1945 -- Dictionaries.</t>
  </si>
  <si>
    <t>Broadway Plays and Musicals : Descriptions and Essential Facts of More Than 14,000 Shows Through 2007</t>
  </si>
  <si>
    <t>792.09747/1</t>
  </si>
  <si>
    <t>Musical theater - New York (State) - New York</t>
  </si>
  <si>
    <t>American Revolutionary War Leaders : A Biographical Dictionary</t>
  </si>
  <si>
    <t>United States - History - Revolution, 1775-1783</t>
  </si>
  <si>
    <t>Statistical Encyclopedia of North American Professional Sports : All Teams and Major Non-Team Events Year by Year, 1876 Through 2006</t>
  </si>
  <si>
    <t>Gaschnitz, K. Michael</t>
  </si>
  <si>
    <t>Professional sports -- North America -- History -- Statistics. ; Sports -- North America -- History -- Statistics.</t>
  </si>
  <si>
    <t>Encyclopedia of Television Law Shows : Factual and Fictional Series about Judges, Lawyers and the Courtroom, 1948-2008</t>
  </si>
  <si>
    <t>Erickson, Hal</t>
  </si>
  <si>
    <t>791.45/655403</t>
  </si>
  <si>
    <t>Justice, Administration of, on television</t>
  </si>
  <si>
    <t>Edward Albee : A Literary Companion</t>
  </si>
  <si>
    <t>Dircks, Phyllis T.</t>
  </si>
  <si>
    <t>812/.54</t>
  </si>
  <si>
    <t>Albee, Edward - Criticism and interpretation</t>
  </si>
  <si>
    <t>Off Broadway Musicals, 1910-2007 : Casts, Credits, Songs, Critical Reception and Performance Data of More Than 1,800 Shows</t>
  </si>
  <si>
    <t>Dietz, Dan</t>
  </si>
  <si>
    <t>Musicals -- New York (State) -- New York. ; Off-Broadway theater.</t>
  </si>
  <si>
    <t>The Seafaring Dictionary : Terms, Idioms and Legends of the Past and Present</t>
  </si>
  <si>
    <t xml:space="preserve">Blackmore, David S. T.;Baldwin, J.A. </t>
  </si>
  <si>
    <t>Engineering: General; Military Science; Engineering</t>
  </si>
  <si>
    <t>Naval art and science -- Dictionaries. ; Seamanship -- Terminology.</t>
  </si>
  <si>
    <t>Brill's Companion to Seneca : Philosopher and Dramatist</t>
  </si>
  <si>
    <t>Heil, Andreas;Damschen, Gregor</t>
  </si>
  <si>
    <t>Literature; Philosophy</t>
  </si>
  <si>
    <t>Seneca, Lucius Annaeus, -- approximately 4 B.C.-65 A.D. -- Criticism and interpretation.</t>
  </si>
  <si>
    <t>Using Online Dictionaries</t>
  </si>
  <si>
    <t>Lexicographica. Series Maior Ser.</t>
  </si>
  <si>
    <t>Müller-Spitzer, Carolin;Heid, Ulrich;Herbst, Thomas</t>
  </si>
  <si>
    <t>English language -- Dictionaries. ; German language -- Dictionaries. ; Machine translating. ; Translating services.</t>
  </si>
  <si>
    <t>Lifted : A Cultural History of the Elevator</t>
  </si>
  <si>
    <t>Bernard, Andreas</t>
  </si>
  <si>
    <t>Engineering: Mechanical; Engineering</t>
  </si>
  <si>
    <t>Elevators - Social aspects - History</t>
  </si>
  <si>
    <t>Psychopathy : An Introduction to Biological Findings and Their Implications</t>
  </si>
  <si>
    <t>Psychology and Crime Ser.</t>
  </si>
  <si>
    <t>Raine, Adrian;Glenn, Andrea L.</t>
  </si>
  <si>
    <t>Antisocial personality disorders - Genetic aspects</t>
  </si>
  <si>
    <t>Pranksters : Making Mischief in the Modern World</t>
  </si>
  <si>
    <t>McLeod, Kembrew</t>
  </si>
  <si>
    <t>General Works/Reference; Literature</t>
  </si>
  <si>
    <t>001.9/5</t>
  </si>
  <si>
    <t>Practical jokes - History</t>
  </si>
  <si>
    <t>Feeling Mediated : A History of Media Technology and Emotion in America</t>
  </si>
  <si>
    <t>Malin, Brenton J.</t>
  </si>
  <si>
    <t>Communication - Psychological aspects - United States</t>
  </si>
  <si>
    <t>The Catholic Church : What Everyone Needs to Know®</t>
  </si>
  <si>
    <t>Allen, John L.</t>
  </si>
  <si>
    <t>Catholic Church -- Doctrines. ; Theology, Doctrinal -- Popular works.</t>
  </si>
  <si>
    <t>Oxford Handbook of Rheumatology</t>
  </si>
  <si>
    <t>Oxford Medical Handbooks</t>
  </si>
  <si>
    <t>Hakim, Alan;Clunie, Gavin;Haq, Inam</t>
  </si>
  <si>
    <t>616.7/23</t>
  </si>
  <si>
    <t>Rheumatology -- Handbooks, manuals, etc.</t>
  </si>
  <si>
    <t>Family Practice Guidelines, Third Edition : Third Edition</t>
  </si>
  <si>
    <t>Cash, Jill C., MSN, APN, FNP-BC;Glass, Cheryl A., MSN, WHNP, RN-BC</t>
  </si>
  <si>
    <t>Family medicine -- Handbooks, manuals, etc. ; Primary nursing -- Handbooks, manuals, etc. ; Nurse practitioners. ; Physicians' assistants.</t>
  </si>
  <si>
    <t>The Post-Racial Mystique : Media and Race in the Twenty-First Century</t>
  </si>
  <si>
    <t>Squires, Catherine</t>
  </si>
  <si>
    <t>Race and media</t>
  </si>
  <si>
    <t>Introduction to 4G Mobile Communications</t>
  </si>
  <si>
    <t>Korhonen, Juha</t>
  </si>
  <si>
    <t>Engineering; Engineering: Electrical</t>
  </si>
  <si>
    <t>Long-Term Evolution (Telecommunications)</t>
  </si>
  <si>
    <t>Encyclopedia of Imaginary and Mythical Places</t>
  </si>
  <si>
    <t>398.23/4003</t>
  </si>
  <si>
    <t>Geographical myths -- Encyclopedias. ; Legends -- Encyclopedias. ; Mythology -- Encyclopedias.</t>
  </si>
  <si>
    <t>Great Authors of Classic Literature</t>
  </si>
  <si>
    <t>Essential Authors for Children and Teens Ser.</t>
  </si>
  <si>
    <t>Nagle, Jeanne;Britannica Educational Publishing Staff</t>
  </si>
  <si>
    <t>809/.003</t>
  </si>
  <si>
    <t>Authors -- Biography -- Juvenile literature. ; Literature -- History and criticism -- Juvenile literature.</t>
  </si>
  <si>
    <t>Great Authors of Popular Fiction</t>
  </si>
  <si>
    <t>Killcoyne, Hope;Britannica Educational Publishing Staff</t>
  </si>
  <si>
    <t>809 B</t>
  </si>
  <si>
    <t>Novelists -- Juvenile biography.</t>
  </si>
  <si>
    <t>Great Authors of Nonfiction</t>
  </si>
  <si>
    <t>Authors -- Biography -- Juvenile literature. ; Prose literature -- History and criticism -- Juvenile literature.</t>
  </si>
  <si>
    <t>Great Authors of Mystery, Horror and Thrillers</t>
  </si>
  <si>
    <t>B</t>
  </si>
  <si>
    <t>Novelists -- Juvenile biography. ; Detective and mystery stories -- History and criticism -- Juvenile literature. ; Horror tales -- History and criticism -- Juvenile literature. ; Suspense fiction -- History and criticism -- Juvenile literature.</t>
  </si>
  <si>
    <t>Great Authors of Children's Books</t>
  </si>
  <si>
    <t>809/.89282</t>
  </si>
  <si>
    <t>Children's literature -- Authorship -- Juvenile literature. ; Authors -- Biography -- Juvenile literature. ; Young adult literature -- Authorship -- Juvenile literature. ; Children -- Books and reading -- Juvenile literature.</t>
  </si>
  <si>
    <t>Top 101 Musicians</t>
  </si>
  <si>
    <t>People You Should Know Ser.</t>
  </si>
  <si>
    <t>Saxena, Shalini;Britannica Educational Publishing Staff</t>
  </si>
  <si>
    <t>780.92/2</t>
  </si>
  <si>
    <t>Musicians -- Biography -- Dictionaries, Juvenile. ; Musical groups -- Biography -- Dictionaries, Juvenile.</t>
  </si>
  <si>
    <t>Top 101 World Leaders</t>
  </si>
  <si>
    <t>352.23092/2</t>
  </si>
  <si>
    <t>Heads of state -- Biography -- Juvenile literature. ; Statesmen -- Biography -- Juvenile literature.</t>
  </si>
  <si>
    <t>Top 101 Remarkable Women</t>
  </si>
  <si>
    <t>Women -- Biography -- Juvenile literature.</t>
  </si>
  <si>
    <t>Top 101 Artists</t>
  </si>
  <si>
    <t>709.2/2</t>
  </si>
  <si>
    <t>Artists -- Biography -- Dictionaries, Juvenile.</t>
  </si>
  <si>
    <t>Top 101 Philosophers</t>
  </si>
  <si>
    <t>Philosophers -- Biography -- Juvenile literature.</t>
  </si>
  <si>
    <t>Top 101 Athletes</t>
  </si>
  <si>
    <t>Athletes -- Biography -- Juvenile literature. ; Sports -- Biography -- Juvenile literature.</t>
  </si>
  <si>
    <t>The Gun Debate : What Everyone Needs to Know®</t>
  </si>
  <si>
    <t>Goss, Kristin A.;Cook, Philip J.</t>
  </si>
  <si>
    <t>Gun control -- United States. ; Firearms ownership -- United States. ; Firearms -- Law and legislation -- United States.</t>
  </si>
  <si>
    <t>The Counter-Revolution Of 1776 : Slave Resistance and the Origins of the United States of America</t>
  </si>
  <si>
    <t>Horne, Gerald</t>
  </si>
  <si>
    <t>Antislavery movements - United States - History - 18th century</t>
  </si>
  <si>
    <t>Essential Interviewing and Counseling Skills : An Integrated Approach to Practice</t>
  </si>
  <si>
    <t>Prout, Tracy;Wadkins, Melanie</t>
  </si>
  <si>
    <t>Interviewing. ; Counseling.</t>
  </si>
  <si>
    <t>Hollywood Stunt Performers, 1910s-1970s : A Biographical Dictionary</t>
  </si>
  <si>
    <t>Freese, Gene Scott</t>
  </si>
  <si>
    <t>791.4302/8092273 B</t>
  </si>
  <si>
    <t>Stunt performers -- United States -- Biography -- Dictionaries.</t>
  </si>
  <si>
    <t>The Wiley Handbook of Anxiety Disorders</t>
  </si>
  <si>
    <t>Emmelkamp, Paul;Ehring, Thomas</t>
  </si>
  <si>
    <t>Clinical psychology -- Handbooks, manuals, etc.</t>
  </si>
  <si>
    <t>Eighteenth Century, 1688-1815 : Eighteenth Century 1688-1815</t>
  </si>
  <si>
    <t>Short Oxford History of the British Isles Ser.</t>
  </si>
  <si>
    <t>Langford, Paul</t>
  </si>
  <si>
    <t>Great Britain -- History -- 18th century.</t>
  </si>
  <si>
    <t>Classical Greece, 500-323 BC : Classical Greece: 500-323 Bc</t>
  </si>
  <si>
    <t>Short Oxford History of Europe Ser.</t>
  </si>
  <si>
    <t>Osborne, Robin</t>
  </si>
  <si>
    <t>Greece -- History -- To 146 B.C.</t>
  </si>
  <si>
    <t>Writing Resumes and Cover Letters for Dummies - Australia / NZ</t>
  </si>
  <si>
    <t>McCarthy, Amanda;Southam, Kate</t>
  </si>
  <si>
    <t>Résumés (Employment) -- Australia. ; Applications for positions.</t>
  </si>
  <si>
    <t>Handbook of Spectroscopy</t>
  </si>
  <si>
    <t>Moore, David S.;Gauglitz, G¿nter;Moore, David S.</t>
  </si>
  <si>
    <t>Science: Chemistry; Science</t>
  </si>
  <si>
    <t>Spectrum analysis -- Handbooks, manuals, etc. ; Trace analysis -- Methodology.</t>
  </si>
  <si>
    <t>Britannica Student Encyclopedia</t>
  </si>
  <si>
    <t>Children's encyclopedias and dictionaries. ; Encyclopedias and dictionaries. ; English language -- Encyclopedias.</t>
  </si>
  <si>
    <t>Writing about Music : A Style Sheet</t>
  </si>
  <si>
    <t>University of California Press</t>
  </si>
  <si>
    <t>Holoman, D. Kern</t>
  </si>
  <si>
    <t>Literature; Fine Arts</t>
  </si>
  <si>
    <t>808.06/678</t>
  </si>
  <si>
    <t>Music - Historiography - Handbooks, manuals, etc</t>
  </si>
  <si>
    <t>A Companion to Ethnicity in the Ancient Mediterranean : Companion to Ethnicity in the Ancient Mediterranean</t>
  </si>
  <si>
    <t>McInerney, Jeremy</t>
  </si>
  <si>
    <t>Ethnology -- Mediterranean Region. ; Mediterranean Region -- Ethnic identity.</t>
  </si>
  <si>
    <t>Research Methods for Business and Management : A Guide to Writing Your Dissertation</t>
  </si>
  <si>
    <t>Goodfellow Publishers, Limited</t>
  </si>
  <si>
    <t>D O'Gorman, Kevin;MacIntosh, Robert</t>
  </si>
  <si>
    <t>Business/Management; Literature</t>
  </si>
  <si>
    <t>Management -- Research -- Methodology. ; Business -- Research -- Methodology.</t>
  </si>
  <si>
    <t>Business Planning Essentials for Dummies</t>
  </si>
  <si>
    <t xml:space="preserve">Curtis, Veechi;Curtis, </t>
  </si>
  <si>
    <t>Business planning.</t>
  </si>
  <si>
    <t>Fashion</t>
  </si>
  <si>
    <t>Oxford History of Art</t>
  </si>
  <si>
    <t>Breward, Christopher</t>
  </si>
  <si>
    <t>Fashion. ; Fashion -- History. ; Clothing trade. ; Clothing trade -- History. ; Fashion design. ; Fashion design -- History.</t>
  </si>
  <si>
    <t>A Companion to Warren G. Harding, Calvin Coolidge, and Herbert Hoover</t>
  </si>
  <si>
    <t>Sibley, Katherine A. S.</t>
  </si>
  <si>
    <t>Harding, Warren G. -- (Warren Gamaliel), -- 1865-1923. ; Coolidge, Calvin, -- 1872-1933. ; Hoover, Herbert, -- 1874-1964. ; Depressions -- 1929. ; United States -- History -- 1919-1933. ; United States -- Politics and government -- 1921-1923. ; United States -- Politics and government -- 1923-1929.</t>
  </si>
  <si>
    <t>Unsettled States : Nineteenth-Century American Literary Studies</t>
  </si>
  <si>
    <t>America and the Long 19th Century Ser.</t>
  </si>
  <si>
    <t>Luciano, Dana;Wilson, Ivy</t>
  </si>
  <si>
    <t>810.9/003</t>
  </si>
  <si>
    <t>SOCIAL SCIENCE / Discrimination &amp; Race Relations</t>
  </si>
  <si>
    <t>Essential Criminology</t>
  </si>
  <si>
    <t>Lanier, Mark M.;Henry, Stuart;Anastasia, Desire' J.M.</t>
  </si>
  <si>
    <t>Criminology.</t>
  </si>
  <si>
    <t>ABC of Anxiety and Depression</t>
  </si>
  <si>
    <t>ABC Ser.</t>
  </si>
  <si>
    <t>Gask, Linda;Chew-Graham, Carolyn</t>
  </si>
  <si>
    <t>Anxiety</t>
  </si>
  <si>
    <t>Guidelines for Reporting Health Research : A User's Manual</t>
  </si>
  <si>
    <t>Moher, David;Altman, Douglas;Schulz, Kenneth;Simera, Iveta;Wager, Elizabeth</t>
  </si>
  <si>
    <t>610.72/4</t>
  </si>
  <si>
    <t>Medicine -- Research. ; Medicine -- Research -- Evaluation. ; Report writing.</t>
  </si>
  <si>
    <t>A Companion to Martin Scorsese</t>
  </si>
  <si>
    <t>Wiley Blackwell Companions to Film Directors Ser.</t>
  </si>
  <si>
    <t>Baker, Aaron</t>
  </si>
  <si>
    <t>Scorsese, Martin -- Criticism and interpretation.</t>
  </si>
  <si>
    <t>Global Studies Encyclopedic Dictionary</t>
  </si>
  <si>
    <t>Contemporary Russian Philosophy Ser.</t>
  </si>
  <si>
    <t>Chumakov, Alexander N.;Mazour, Ivan I.;Gay, William C.;Gorbachev, Mikhail</t>
  </si>
  <si>
    <t>Globalization -- Dictionaries.</t>
  </si>
  <si>
    <t>The Australian Editing Handbook</t>
  </si>
  <si>
    <t>Flann, Elizabeth;Hill, Beryl;Wang, Lan</t>
  </si>
  <si>
    <t>Editing -- Handbooks, manuals, etc. ; Publishers and publishing -- Australia -- Handbooks, manuals, etc.</t>
  </si>
  <si>
    <t>A Companion to Greek Democracy and the Roman Republic</t>
  </si>
  <si>
    <t xml:space="preserve">Hammer, Dean;Hammer, Dean </t>
  </si>
  <si>
    <t>Greece -- Politics and government -- To 146 B.C. ; Rome -- Politics and government -- 265-30 B.C. ; Greece -- Economic conditions -- To 146 B.C. ; Rome -- Economic conditions -- 510-30 B.C.</t>
  </si>
  <si>
    <t>A Companion to Livy</t>
  </si>
  <si>
    <t>Mineo, Bernard</t>
  </si>
  <si>
    <t>937/.02</t>
  </si>
  <si>
    <t>Livy. -- Ab urbe condita -- Criticism and interpretation. ; Rome -- Historiography. ; Rome -- History -- Early works to 1800. ; Rome -- History -- To 510 B.C.</t>
  </si>
  <si>
    <t>Anarchism, Revolution, and Terrorism</t>
  </si>
  <si>
    <t>Political and Economic Systems Ser.</t>
  </si>
  <si>
    <t>Croce, Nicholas;Britannica Educational Publishing Staff</t>
  </si>
  <si>
    <t>335/.83</t>
  </si>
  <si>
    <t>Anarchism -- History -- Juvenile literature. ; Revolutions -- History -- Juvenile literature. ; Terrorism -- History -- Juvenile literature.</t>
  </si>
  <si>
    <t>Bands, Tribes, and First Peoples and Nations</t>
  </si>
  <si>
    <t>Barrington, Richard;Wolff, Ariana;Britannica Educational Publishing Staff</t>
  </si>
  <si>
    <t>Indigenous peoples -- Juvenile literature. ; Ethnology -- Juvenile literature.</t>
  </si>
  <si>
    <t>Capitalism</t>
  </si>
  <si>
    <t>Smalbach, Richard;Britannica Educational Publishing Staff</t>
  </si>
  <si>
    <t>330.12/2</t>
  </si>
  <si>
    <t>Capitalism -- Juvenile literature.</t>
  </si>
  <si>
    <t>Democracy</t>
  </si>
  <si>
    <t>Lowery, Zoe;Britannica Educational Publishing Staff</t>
  </si>
  <si>
    <t>Democracy -- Juvenile literature.</t>
  </si>
  <si>
    <t>Socialism and Communism</t>
  </si>
  <si>
    <t>Murphy, John;Britannica Educational Publishing Staff</t>
  </si>
  <si>
    <t>Socialism -- History -- Juvenile literature. ; Communism -- History -- Juvenile literature.</t>
  </si>
  <si>
    <t>American Higher Education in Crisis? : What Everyone Needs to Know®</t>
  </si>
  <si>
    <t>Blumenstyk, Goldie</t>
  </si>
  <si>
    <t>Education, Higher -- United States. ; Universities and colleges -- United States. ; Education, Higher -- Aims and objectives -- United States.</t>
  </si>
  <si>
    <t>Health Humanities Reader</t>
  </si>
  <si>
    <t>Rutgers University Press</t>
  </si>
  <si>
    <t>Jones, Therese;Wear, Delese;Friedman, Lester D.;Peterkin, Allen;Vonnegut, Mark;Frank, Arthur W.;Flood, David H.;Soricelli, Rhonda L.;Keränen, Lisa;Sappol, Michael</t>
  </si>
  <si>
    <t>Health Personnel - education</t>
  </si>
  <si>
    <t>ABC of Arterial and Venous Disease : ABC of Arterial and Venous Disease (3rd Edition)</t>
  </si>
  <si>
    <t>England, Tim;Nasim, Akhtar</t>
  </si>
  <si>
    <t>616.1/3</t>
  </si>
  <si>
    <t>Vascular Diseases - therapy</t>
  </si>
  <si>
    <t>Gods, Demigods and Demons : An Encyclopedia of Greek Mythology</t>
  </si>
  <si>
    <t>Open Road Media</t>
  </si>
  <si>
    <t>Evslin, Bernard</t>
  </si>
  <si>
    <t>Mythology, Greek -- Dictionaries. ; Mythology, Greek -- Encyclopedias.</t>
  </si>
  <si>
    <t>Agricultural and Food Controversies : What Everyone Needs to Know®</t>
  </si>
  <si>
    <t>Norwood, F. Bailey;Oltenacu, Pascal A.;Calvo-Lorenzo, Michelle S.;Lancaster, Sarah</t>
  </si>
  <si>
    <t>Home Economics; Philosophy</t>
  </si>
  <si>
    <t>Agriculture -- Moral and ethical aspects. ; Food -- Moral and ethical aspects.</t>
  </si>
  <si>
    <t>Service-Learning Essentials : Questions, Answers, and Lessons Learned</t>
  </si>
  <si>
    <t>Jacoby, Barbara;Howard, Jeffrey</t>
  </si>
  <si>
    <t>361.3/7</t>
  </si>
  <si>
    <t>Service learning -- United States. ; Education, Higher -- Curricula -- United States.</t>
  </si>
  <si>
    <t>Marine Pollution : What Everyone Needs to Know®</t>
  </si>
  <si>
    <t>Weis, Judith S.</t>
  </si>
  <si>
    <t>Science; Science: Biology/Natural History; Science: Geology</t>
  </si>
  <si>
    <t>Marine pollution. ; Marine ecology.</t>
  </si>
  <si>
    <t>ABC of Hypertension</t>
  </si>
  <si>
    <t>Lip, Gregory Y. H.;Beevers, D. Gareth;O'Brien, Eoin T.</t>
  </si>
  <si>
    <t>616.1/32</t>
  </si>
  <si>
    <t>Hypertension.</t>
  </si>
  <si>
    <t>ABC of Transfer and Retrieval Medicine</t>
  </si>
  <si>
    <t>Low, Adam;Hulme, Jonathan</t>
  </si>
  <si>
    <t>Critical care medicine. ; Transport of sick and wounded.</t>
  </si>
  <si>
    <t>Complete Guide to Christian Quotations : An Indispensable Resource for Writers, Pastors, Teachers, Students--and Anyone Else Who Loves Books</t>
  </si>
  <si>
    <t>Barbour Publishing, Inc.</t>
  </si>
  <si>
    <t>Compiled by Barbour Staff</t>
  </si>
  <si>
    <t>Christian life-Quotations, maxims, etc. ; Christians-Quotations. ; Christianity-Quotations, maxims, etc.</t>
  </si>
  <si>
    <t>Architectural Styles : A Visual Guide</t>
  </si>
  <si>
    <t>Laurence King Publishing</t>
  </si>
  <si>
    <t>Hopkins, Owen</t>
  </si>
  <si>
    <t>Architecture</t>
  </si>
  <si>
    <t>Architecture -- History. ; Decoration and ornament, Architectural -- History.</t>
  </si>
  <si>
    <t>A Companion to Latin Greece</t>
  </si>
  <si>
    <t>Brill's Companions to European History Ser.</t>
  </si>
  <si>
    <t>Tsougarakis, Nickiphoros I.;Lock, Peter</t>
  </si>
  <si>
    <t>949.5/04</t>
  </si>
  <si>
    <t>Greece -- History -- 323-1453. ; Latin Empire, 1204-1261. ; Greece -- Civilization -- Roman influences.</t>
  </si>
  <si>
    <t>A Counselor's Guide to Working with Men</t>
  </si>
  <si>
    <t>American Counseling Association</t>
  </si>
  <si>
    <t>Englar-Carlson, Matt;Evans, Marcheta P.;Duffy, Thelma</t>
  </si>
  <si>
    <t>Men -- Counseling of. ; Men -- Mental health. ; Men -- Psychology.</t>
  </si>
  <si>
    <t>Wiley-Blackwell Student Dictionary of Human Evolution</t>
  </si>
  <si>
    <t xml:space="preserve">Wood, Bernard;Wood, Derby Professor and Head of Department of Anatomy Bernard </t>
  </si>
  <si>
    <t>599.93/8</t>
  </si>
  <si>
    <t>Human evolution.</t>
  </si>
  <si>
    <t>The Wiley Handbook of Psychology, Technology, and Society</t>
  </si>
  <si>
    <t>Rosen, Larry D.;Cheever, Nancy;Carrier, L. Mark</t>
  </si>
  <si>
    <t>PSYCHOLOGY / Social Psychology</t>
  </si>
  <si>
    <t>A Companion to Heritage Studies</t>
  </si>
  <si>
    <t>Logan, William;Kockel, Ullrich;Craith, M�iréad Nic;Craith, Máiréad Nic</t>
  </si>
  <si>
    <t>History; Environmental Studies</t>
  </si>
  <si>
    <t>363.6/9</t>
  </si>
  <si>
    <t>Cultural property. ; Ethnicity. ; Historic sites. ; National characteristics.</t>
  </si>
  <si>
    <t>The Handbook of Bilingual and Multilingual Education</t>
  </si>
  <si>
    <t>Wright, Wayne E.;Boun, Sovicheth;Garc�a, Ofelia;García, Ofelia</t>
  </si>
  <si>
    <t>404/.2071</t>
  </si>
  <si>
    <t>Bilingualism. ; Education, Bilingual -- Handbooks, manuals, etc. ; Multicultural education -- Handbooks, manuals, etc. ; Multilingualism -- Study and teaching -- Handbooks, manuals, etc. ; Multilingualism.</t>
  </si>
  <si>
    <t>A Companion to Ronald Reagan</t>
  </si>
  <si>
    <t>Johns, Andrew L.</t>
  </si>
  <si>
    <t>Reagan, Ronald. ; United States -- Politics and government -- 1981-1989. ; United States -- Foreign relations -- 1981-1989.</t>
  </si>
  <si>
    <t>The Concise Encyclopedia of Communication</t>
  </si>
  <si>
    <t>Donsbach, Wolfgang</t>
  </si>
  <si>
    <t>302/.03</t>
  </si>
  <si>
    <t>Communication -- Encyclopedias.</t>
  </si>
  <si>
    <t>The Center for Creative Leadership Handbook of Coaching in Organizations</t>
  </si>
  <si>
    <t>J-B CCL (Center for Creative Leadership) Ser.</t>
  </si>
  <si>
    <t>Riddle, Douglas;Hoole, Emily R.;Gullette, Elizabeth C. D.</t>
  </si>
  <si>
    <t>658.3/124</t>
  </si>
  <si>
    <t>Executive coaching. ; Leadership. ; Mentoring in business. ; Employees -- Coaching of.</t>
  </si>
  <si>
    <t>A Companion to Contemporary Documentary Film</t>
  </si>
  <si>
    <t xml:space="preserve">Juhasz, Alexandra;Lebow, Alisa;Juhasz, Alexandra ;LeBow, Alisa </t>
  </si>
  <si>
    <t>Fine Arts; Journalism</t>
  </si>
  <si>
    <t>070.1/8</t>
  </si>
  <si>
    <t>Documentary films -- History and criticism.</t>
  </si>
  <si>
    <t>A Companion to the Archaeology of Religion in the Ancient World</t>
  </si>
  <si>
    <t>Raja, Rubina;Rüpke, Jörg;Rüpke, Jörg</t>
  </si>
  <si>
    <t>Archaeology and religion--Middle East.</t>
  </si>
  <si>
    <t>Handbook of Child Psychology and Developmental Science, Theory and Method</t>
  </si>
  <si>
    <t xml:space="preserve">Lerner, Richard M.;Overton, Willis F.;Molenaar, Peter C. M.;Lerner, Richard M ;Overton, Willis F ;Molenaar, Peter C M </t>
  </si>
  <si>
    <t>Child psychology.</t>
  </si>
  <si>
    <t>Handbook of Child Psychology and Developmental Science, Cognitive Processes</t>
  </si>
  <si>
    <t xml:space="preserve">Lerner, Richard M.;Liben, Lynn S.;Mueller, Ulrich;Lerner, Richard M ;Liben, Lynn S ;Mueller, Ulrich </t>
  </si>
  <si>
    <t>Handbook of Child Psychology and Developmental Science, Socioemotional Processes</t>
  </si>
  <si>
    <t xml:space="preserve">Lerner, Richard M.;Lamb, Michael E.;Lerner, Richard M ;Lamb, Michael E </t>
  </si>
  <si>
    <t>Handbook of Child Psychology and Developmental Science, Ecological Settings and Processes</t>
  </si>
  <si>
    <t xml:space="preserve">Lerner, Richard M.;Bornstein, Marc H.;Leventhal, Tama;Lerner, Richard M ;Bornstein, Marc H ;Leventhal, Tama </t>
  </si>
  <si>
    <t>A Practical Guide to the Science and Practice of Afterschool Programming : New Directions for Youth Development, Number 144</t>
  </si>
  <si>
    <t>J-B MHS Single Issue Mental Health Services Ser.</t>
  </si>
  <si>
    <t xml:space="preserve">Mahoney, Joseph L.;Warner, Gina;Warner, Gina ;Mahoney, Joseph L ;Warner, Gina </t>
  </si>
  <si>
    <t>Mahoney, Joseph L., -- editor. ; After-school programs -- United States. ; Youth development -- United States. ; Student activities -- United States.</t>
  </si>
  <si>
    <t>Encyclopedia of the Underground Railroad</t>
  </si>
  <si>
    <t>Hudson, J. Blaine</t>
  </si>
  <si>
    <t>973.7/11503</t>
  </si>
  <si>
    <t>Underground Railroad -- Encyclopedias. ; Fugitive slaves -- United States -- History -- Encyclopedias. ; Slavery -- United States -- History -- Encyclopedias.</t>
  </si>
  <si>
    <t>Annotated Bibliography of Films in Automation, Data Processing, and Computer Science</t>
  </si>
  <si>
    <t>University Press of Kentucky</t>
  </si>
  <si>
    <t>Soloman, Martin B., Jr.;Lovan, Nora Geraldine</t>
  </si>
  <si>
    <t>Social Science; Computer Science/IT</t>
  </si>
  <si>
    <t>Electronic data processing -- Film catalogs. ; Automation -- Film catalogs. ; Computers -- Film catalogs.</t>
  </si>
  <si>
    <t>Venezuela : What Everyone Needs to Know</t>
  </si>
  <si>
    <t>Tinker Salas, Miguel</t>
  </si>
  <si>
    <t>HISTORY / Latin America / South America</t>
  </si>
  <si>
    <t>At Home in Nineteenth-Century America : A Documentary History</t>
  </si>
  <si>
    <t>Richter, Amy G.</t>
  </si>
  <si>
    <t>United States - Social life and customs - 19th century</t>
  </si>
  <si>
    <t>Encyclopedia of Nursing Education</t>
  </si>
  <si>
    <t>Smith, Mary Jane;Fitzpatrick, Joyce J.;Carpenter, Dona Rinaldi;Carpenter, Roger D.</t>
  </si>
  <si>
    <t>Nursing -- Encyclopedias.</t>
  </si>
  <si>
    <t>Encyclopedia of Mind Enhancing Foods, Drugs and Nutritional Substances</t>
  </si>
  <si>
    <t>Group, David W.</t>
  </si>
  <si>
    <t>Medicine; Pharmacy</t>
  </si>
  <si>
    <t>615/.78</t>
  </si>
  <si>
    <t>Nootropic agents</t>
  </si>
  <si>
    <t>The Handbook of Interior Design</t>
  </si>
  <si>
    <t>Thompson, Jo Ann Asher;Blossom, Nancy</t>
  </si>
  <si>
    <t>Interior architecture. ; Interior architecture -- Philosophy. ; Interior decoration. ; Interior decoration -- Philosophy.</t>
  </si>
  <si>
    <t>Encyclopedia of Play in Today's Society</t>
  </si>
  <si>
    <t>Carlisle, Rodney P.</t>
  </si>
  <si>
    <t>Fine Arts; Sport &amp;amp; Recreation</t>
  </si>
  <si>
    <t>Recreation -- Encyclopedias. ; Leisure -- Encyclopedias.</t>
  </si>
  <si>
    <t>21st Century Economics: A Reference Handbook</t>
  </si>
  <si>
    <t>Free, Rhona C.</t>
  </si>
  <si>
    <t>Economics -- Handbooks, manuals, etc. ; Economic policy.</t>
  </si>
  <si>
    <t>Dictionary of New Testament Background : A Compendium of Contemporary Biblical Scholarship</t>
  </si>
  <si>
    <t>InterVarsity Press</t>
  </si>
  <si>
    <t>The IVP Bible Dictionary Series</t>
  </si>
  <si>
    <t>Evans, Craig A.;Porter, Stanley E.</t>
  </si>
  <si>
    <t>Bible. -- New Testament -- Dictionaries.</t>
  </si>
  <si>
    <t>Dictionary of the Old Testament - Pentateuch : A Compendium of Contemporary Biblical Scholarship</t>
  </si>
  <si>
    <t>The IVP Bible Dictionary Ser.</t>
  </si>
  <si>
    <t>Alexander, T. Desmond;Baker, David W.</t>
  </si>
  <si>
    <t>222/.103</t>
  </si>
  <si>
    <t>Bible. -- Pentateuch -- Dictionaries.</t>
  </si>
  <si>
    <t>The US Special Forces : What Everyone Needs to Know®</t>
  </si>
  <si>
    <t>Prados, John</t>
  </si>
  <si>
    <t>356/.160973</t>
  </si>
  <si>
    <t>United States. -- Army. -- Special Forces -- History. ; Special forces (Military science) -- United States -- History.</t>
  </si>
  <si>
    <t>A Companion to the Harlem Renaissance</t>
  </si>
  <si>
    <t>Sherrard-Johnson, Cherene</t>
  </si>
  <si>
    <t>810.9/896073</t>
  </si>
  <si>
    <t>African Americans in popular culture</t>
  </si>
  <si>
    <t>The IVP Bible Background Commentary - Old Testament : Old Testament</t>
  </si>
  <si>
    <t xml:space="preserve">Walton, John H.;Matthews, Victor H.;Chavalas, Mark W.;Matthews, Victor ;Chavalas, Dr Mark W </t>
  </si>
  <si>
    <t>Bible. -- Old Testament -- Commentaries.</t>
  </si>
  <si>
    <t>Pocket Dictionary of Theological Terms</t>
  </si>
  <si>
    <t>The IVP Pocket Reference Ser.</t>
  </si>
  <si>
    <t>Grenz, Stanley J.;Guretzki, David;Nordling, Cherith Fee</t>
  </si>
  <si>
    <t>230/.03</t>
  </si>
  <si>
    <t>Theology -- Dictionaries. ; Christianity -- Dictionaries.</t>
  </si>
  <si>
    <t>Pocket Handbook of Christian Apologetics</t>
  </si>
  <si>
    <t>The IVP Pocket Reference Series</t>
  </si>
  <si>
    <t>Kreeft, Peter;Tacelli, Ronald K.</t>
  </si>
  <si>
    <t>Apologetics.</t>
  </si>
  <si>
    <t>Encyclopedia of African Religion</t>
  </si>
  <si>
    <t>Asante, Molefi Kete;Mazama, Ama</t>
  </si>
  <si>
    <t>Africa -- Religion -- Encyclopedias.</t>
  </si>
  <si>
    <t>A Student's Guide to Textual Criticism of the Bible : Its History, Methods and Results</t>
  </si>
  <si>
    <t>Wegner, Paul D.</t>
  </si>
  <si>
    <t>220.4/046</t>
  </si>
  <si>
    <t>Bible -- Criticism, Textual. ; Bible -- Language, Style. ; Religion.</t>
  </si>
  <si>
    <t>Handbook of Cognitive Linguistics</t>
  </si>
  <si>
    <t>Dabrowska, Ewa;Divjak, Dagmar</t>
  </si>
  <si>
    <t>Cognitive grammar. ; Language and languages -- Study and teaching. ; Linguistics. ; Second language acquisition.</t>
  </si>
  <si>
    <t>British Architectural Styles : An Easy Reference Guide</t>
  </si>
  <si>
    <t>Countryside Books</t>
  </si>
  <si>
    <t>Yorke, Trevor</t>
  </si>
  <si>
    <t>Architecture -- Great Britain -- Handbooks, manuals, etc.</t>
  </si>
  <si>
    <t>A Companion to Hong Kong Cinema</t>
  </si>
  <si>
    <t>Marchetti, Gina;Yau, Esther C. M.;Cheung, Esther M.K.</t>
  </si>
  <si>
    <t>Documentary films -- China -- Hong Kong -- History and criticism. ; Documentary films -- China. ; Motion pictures -- China -- Hong Kong -- History. ; Motion pictures -- China.</t>
  </si>
  <si>
    <t>Al Qaeda, the Islamic State, and the Global Jihadist Movement : What Everyone Needs to Know®</t>
  </si>
  <si>
    <t>Byman, Daniel</t>
  </si>
  <si>
    <t>Islamic fundamentalism. ; Jihad. ; Qaida (Organization). ; War on Terrorism, 2001-2009.</t>
  </si>
  <si>
    <t>A Companion to Ancient Education</t>
  </si>
  <si>
    <t>Bloomer, W. Martin</t>
  </si>
  <si>
    <t>Education - Rome</t>
  </si>
  <si>
    <t>The Complete Dictionary of Real Estate Terms Explained Simply : What Smart Investors Need to Know</t>
  </si>
  <si>
    <t>Atlantic Publishing Group</t>
  </si>
  <si>
    <t>Haden, Jeff</t>
  </si>
  <si>
    <t>Real estate business -- Dictionaries. ; Real estate investment -- Dictionaries. ; Real property -- Dictionaries.</t>
  </si>
  <si>
    <t>The Complete Dictionary of Mortgage &amp; Lending Terms Explained Simply : What Smart Investors Need to Know</t>
  </si>
  <si>
    <t>Atlantic Publishing Group, Atlantic Publishing Group</t>
  </si>
  <si>
    <t>332.7/03</t>
  </si>
  <si>
    <t>Mortgage banks-Dictionaries. ; Mortgage loans-Dictionaries.</t>
  </si>
  <si>
    <t>Wall Street Lingo : Thousands of Investment Terms Explained Simply</t>
  </si>
  <si>
    <t>Peterson, Nora</t>
  </si>
  <si>
    <t>Finance -- Dictionaries. ; Investments -- Dictionaries. ; Securities -- Dictionaries.</t>
  </si>
  <si>
    <t>The Complete Dictionary of Insurance Terms Explained Simply</t>
  </si>
  <si>
    <t>Samaroo, Melissa</t>
  </si>
  <si>
    <t>Insurance-Dictionaries.</t>
  </si>
  <si>
    <t>The Encyclopedia of Small Business Forms and Agreements : A Complete Kit of Ready-to-Use Business Checklists, Worksheets, Forms, Contracts, and Human Resource Documents</t>
  </si>
  <si>
    <t>Maeda, Martha</t>
  </si>
  <si>
    <t>651/.29</t>
  </si>
  <si>
    <t>Small business-United States-Forms. ; Small business-Law and legislation-United States-Forms.</t>
  </si>
  <si>
    <t>The Complete Dictionary of Accounting and Bookkeeping Terms Explained Simply</t>
  </si>
  <si>
    <t>Ferraino, Cindy</t>
  </si>
  <si>
    <t>Accounting -- Dictionaries. ; Bookkeeping -- Dictionaries. ; Terms and phrases.</t>
  </si>
  <si>
    <t>Invitation to Theology : A Guide to Study, Conversation and Practice</t>
  </si>
  <si>
    <t>Jinkins, Michael</t>
  </si>
  <si>
    <t>230/.071</t>
  </si>
  <si>
    <t>Theology, Doctrinal - Study and teaching</t>
  </si>
  <si>
    <t>The Conflict in Ukraine : What Everyone Needs to Know®</t>
  </si>
  <si>
    <t>Yekelchyk, Serhy</t>
  </si>
  <si>
    <t>Regionalism - Political aspects - Ukraine</t>
  </si>
  <si>
    <t>Brill's Companion to Roman Tragedy</t>
  </si>
  <si>
    <t>Harrison, George W. M.</t>
  </si>
  <si>
    <t>872/.0109</t>
  </si>
  <si>
    <t>Latin drama (Tragedy) -- History and criticism.</t>
  </si>
  <si>
    <t>Handbook of Practical Program Evaluation</t>
  </si>
  <si>
    <t>Essential Texts for Nonprofit and Public Leadership and Management Ser.</t>
  </si>
  <si>
    <t>Newcomer, Kathryn E.;Hatry, Harry P.;Wholey, Joseph S.</t>
  </si>
  <si>
    <t>Business/Management; Social Science</t>
  </si>
  <si>
    <t>Policy sciences. ; Political planning -- Evaluation. ; Political planning. ; Program Evaluation.</t>
  </si>
  <si>
    <t>Brill's Companion to Ancient Greek Scholarship</t>
  </si>
  <si>
    <t>Montanari, Franco;Matthaios, Stephanos;Rengakos, Aristotle;Rengakos, Antonios</t>
  </si>
  <si>
    <t>Classical philology-History-To 1500. ; Classical languages-Grammar, Historical.</t>
  </si>
  <si>
    <t>ADHD : What Everyone Needs to Know®</t>
  </si>
  <si>
    <t>Hinshaw, Stephen P.;Ellison, Katherine</t>
  </si>
  <si>
    <t>618.92/8589</t>
  </si>
  <si>
    <t>Attention-deficit hyperactivity disorder</t>
  </si>
  <si>
    <t>Brill's Companion to Propertius</t>
  </si>
  <si>
    <t>Günther, Hans Christian</t>
  </si>
  <si>
    <t>874/.01</t>
  </si>
  <si>
    <t>Propertius, Sextus -- Criticism and interpretation.</t>
  </si>
  <si>
    <t>Brill's Companion to Thucydides</t>
  </si>
  <si>
    <t>Rengakos, Antonios;Tsakmakis, Antonis</t>
  </si>
  <si>
    <t>938/.05</t>
  </si>
  <si>
    <t>Thucydides. -- History of the Peloponnesian War. ; Greece -- History -- Peloponnesian War, 431-404 B.C. -- Historiography.</t>
  </si>
  <si>
    <t>Warfare and Armed Conflicts : A Statistical Encyclopedia of Casualty and Other Figures, 1494-2000</t>
  </si>
  <si>
    <t>Clodfelter, Micheal</t>
  </si>
  <si>
    <t>904/.7</t>
  </si>
  <si>
    <t>Military history, Modern -- Encyclopedias. ; Military history, Modern -- Statistics.</t>
  </si>
  <si>
    <t>Encyclopedia of Time : Science, Philosophy, Theology, and Culture</t>
  </si>
  <si>
    <t>SAGE Publications, Inc.</t>
  </si>
  <si>
    <t>Birx, H. James</t>
  </si>
  <si>
    <t>Time -- Encyclopedias.</t>
  </si>
  <si>
    <t>American Jewish History : A JPS Guide</t>
  </si>
  <si>
    <t>Jewish Publication Society</t>
  </si>
  <si>
    <t>Finkelstein, Norman H.</t>
  </si>
  <si>
    <t>973/.04924</t>
  </si>
  <si>
    <t>Jews -- United States -- History. ; United States -- Ethnic relations.</t>
  </si>
  <si>
    <t>Antiwar Dissent and Peace Activism in World War I America : A Documentary Reader</t>
  </si>
  <si>
    <t>UNP - Nebraska</t>
  </si>
  <si>
    <t>Bennett, Scott H.;Howlett, Charles F.;Bennett, Scott H.;Howlett, Charles F.</t>
  </si>
  <si>
    <t>World War, 1914-1918 -- Protest movements -- United States. ; Peace movements -- United States -- History -- 20th century. ; Dissenters -- United States -- History -- 20th century. ; World War, 1914-1918 -- United States.</t>
  </si>
  <si>
    <t>The Federal Reserve : What Everyone Needs to Know®</t>
  </si>
  <si>
    <t>Axilrod, Stephen H.</t>
  </si>
  <si>
    <t>Board of Governors of the Federal Reserve System (U.S.) ; Federal Reserve banks. ; Monetary policy -- United States. ; United States -- Economic policy.</t>
  </si>
  <si>
    <t>Water Dictionary : A Comprehensive Reference of Water Terminology</t>
  </si>
  <si>
    <t>American Water Works Association</t>
  </si>
  <si>
    <t xml:space="preserve">AWWA Staff;Symons, James M </t>
  </si>
  <si>
    <t>Engineering: Environmental; Engineering</t>
  </si>
  <si>
    <t>Drinking water -- Dictionaries. ; Water-supply -- Dictionaries. ; Water treatment plants -- Dictionaries.</t>
  </si>
  <si>
    <t>Dictionary of Philosophy (English – Spanish || Spanish – English)  Diccionario de Filosofía (Español – Inglés || Inglés – Español)</t>
  </si>
  <si>
    <t>Editorial Castilla La Vieja</t>
  </si>
  <si>
    <t>Hornak, Kenneth Allen</t>
  </si>
  <si>
    <t>Philosophy--Dictionaries.</t>
  </si>
  <si>
    <t>Labor Guide to Labor Law</t>
  </si>
  <si>
    <t>Cornell University Press</t>
  </si>
  <si>
    <t>Feldacker, Bruce S.;Hayes, Michael J.</t>
  </si>
  <si>
    <t>Labor laws and legislation -- United States. ; Labor unions -- Law and legislation -- United States.</t>
  </si>
  <si>
    <t>Orchids of Tropical America : An Introduction and Guide</t>
  </si>
  <si>
    <t xml:space="preserve">Meisel, Joe E.;Kaufmann, Ronald S.;Pupulin, Franco;Cribb, Phillip J. </t>
  </si>
  <si>
    <t>Science: Botany; Science</t>
  </si>
  <si>
    <t>584/.4098</t>
  </si>
  <si>
    <t>Orchids -- Latin America. ; Orchids -- Tropics.</t>
  </si>
  <si>
    <t>Handbook of Energy Audits</t>
  </si>
  <si>
    <t>The Fairmont Press, Inc.</t>
  </si>
  <si>
    <t>Thumann, Albert;Niehus, Terry;Younger, William J.</t>
  </si>
  <si>
    <t>Engineering; Engineering: Mechanical; Business/Management</t>
  </si>
  <si>
    <t>658.2/6</t>
  </si>
  <si>
    <t>Energy auditing -- Handbooks, manuals, etc.</t>
  </si>
  <si>
    <t>Energy Management Handbook</t>
  </si>
  <si>
    <t>Doty, Steve;Turner, Wayne</t>
  </si>
  <si>
    <t>Engineering; Engineering: Mechanical; Economics; Environmental Studies</t>
  </si>
  <si>
    <t>Power resources -- Handbooks, manuals, etc. ; Energy conservation -- Handbooks, manuals, etc.</t>
  </si>
  <si>
    <t>Energy Conservation Guidebook</t>
  </si>
  <si>
    <t xml:space="preserve">Patrick, Dale R.;Fardo, Stephen W.;Richardson, Ray E.;Fardo, Brian W </t>
  </si>
  <si>
    <t>Engineering; Engineering: Construction; Engineering: Mechanical</t>
  </si>
  <si>
    <t>Energy conservation -- Handbooks, manuals, etc.</t>
  </si>
  <si>
    <t>Encyclopedia of Prisoners of War and Internment</t>
  </si>
  <si>
    <t>Grey House Publishing</t>
  </si>
  <si>
    <t>Vance, Jonathan</t>
  </si>
  <si>
    <t>355.1/13</t>
  </si>
  <si>
    <t>Prisoners of war -- Encyclopedias. ; Concentration camps -- Encyclopedias.</t>
  </si>
  <si>
    <t>Encyclopedia of Warrior Peoples and Fighting Groups</t>
  </si>
  <si>
    <t>Davis, Paul K.;Hamilton, Allen Lee</t>
  </si>
  <si>
    <t>History; Military Science</t>
  </si>
  <si>
    <t>Military history -- Encyclopedias.</t>
  </si>
  <si>
    <t>Encyclopedia of Invasions and Conquests : From Ancient Times to the Present</t>
  </si>
  <si>
    <t>Davis, Paul K.</t>
  </si>
  <si>
    <t>355/.003</t>
  </si>
  <si>
    <t>African Biographical Dictionary</t>
  </si>
  <si>
    <t>Brockman, Norbert</t>
  </si>
  <si>
    <t>Africa -- Biography -- Dictionaries. ; Afrique -- Biographies -- Dictionnaires anglais. ; Biography ; Africa</t>
  </si>
  <si>
    <t>Encyclopedia of African-American Writing (2nd Edition)</t>
  </si>
  <si>
    <t>Hatch, Sherry</t>
  </si>
  <si>
    <t>American literature -- African American authors -- Encyclopedias. ; African Americans -- Intellectual life -- Encyclopedias. ; African American authors -- Biography -- Encyclopedias. ; African Americans in literature -- Encyclopedias.</t>
  </si>
  <si>
    <t>Quintessential Searcher : The Wit and Wisdom of Barbara Quint</t>
  </si>
  <si>
    <t>Information Today, Inc.</t>
  </si>
  <si>
    <t>Block, Marylaine</t>
  </si>
  <si>
    <t>Computer Science/IT; Library Science</t>
  </si>
  <si>
    <t>004.0207;025.04/0207</t>
  </si>
  <si>
    <t>Quint, Barbara. ; Online bibliographic searching. ; Electronic information resource searching.</t>
  </si>
  <si>
    <t>Student's Guide to Political Philosophy</t>
  </si>
  <si>
    <t>ISI Books</t>
  </si>
  <si>
    <t>Guides to the Major Disciplines</t>
  </si>
  <si>
    <t>Mansfield, Harvey C.</t>
  </si>
  <si>
    <t>Political science--Philosophy.</t>
  </si>
  <si>
    <t>Student's Guide to the Study of History</t>
  </si>
  <si>
    <t>Lukacs, John</t>
  </si>
  <si>
    <t>907/.2</t>
  </si>
  <si>
    <t>History -- Study and teaching. ; Historiography.</t>
  </si>
  <si>
    <t>Student's Guide to Philosophy</t>
  </si>
  <si>
    <t>Mcinerny, Ralph M.</t>
  </si>
  <si>
    <t>Philosophy -- Popular works.</t>
  </si>
  <si>
    <t>Student's Guide U.S. History Guide</t>
  </si>
  <si>
    <t>McClay, Wilfred M.</t>
  </si>
  <si>
    <t>United States--History--Outlines, syllabi, etc.</t>
  </si>
  <si>
    <t>Student's Guide to Psychology</t>
  </si>
  <si>
    <t>Robinson, Daniel</t>
  </si>
  <si>
    <t>Psychology.</t>
  </si>
  <si>
    <t>Student's Guide to Classics</t>
  </si>
  <si>
    <t>Thornton, Bruce S.</t>
  </si>
  <si>
    <t>880/.09</t>
  </si>
  <si>
    <t>Classical literature -- History and criticism -- Handbooks, manuals, etc.</t>
  </si>
  <si>
    <t>Student's Guide to Literature</t>
  </si>
  <si>
    <t>Young, R.V.</t>
  </si>
  <si>
    <t>Literature -- History and criticism.</t>
  </si>
  <si>
    <t>Encyclopedia of Ancient Christianity</t>
  </si>
  <si>
    <t>Di Berardino, Angelo;Oden, Thomas C.;Elowsky, Joel C.</t>
  </si>
  <si>
    <t>Christian literature, Early -- Dictionaries. ; Church history -- Primitive and early church, ca. 30-600 -- Dictionaries.</t>
  </si>
  <si>
    <t>Zooplankton of the Atlantic and Gulf Coasts : A Guide to Their Identification and Ecology</t>
  </si>
  <si>
    <t>Johns Hopkins University Press</t>
  </si>
  <si>
    <t>Johnson, William S.;Allen, Dennis M.;Fylling, Marni</t>
  </si>
  <si>
    <t>592.177/6</t>
  </si>
  <si>
    <t>Marine zooplankton -- Atlantic States -- Identification. ; Marine zooplankton -- Gulf States -- Identification. ; Marine zooplankton -- Ecology -- Atlantic States. ; Marine zooplankton -- Ecology -- Gulf States.</t>
  </si>
  <si>
    <t>Squirrels of the World</t>
  </si>
  <si>
    <t xml:space="preserve">Thorington, Richard W., Jr.;Koprowski, John L.;Steele, Michael A.;Whatton, James F. </t>
  </si>
  <si>
    <t>Sciuridae</t>
  </si>
  <si>
    <t>Origins of Mathematical Words : A Comprehensive Dictionary of Latin, Greek, and Arabic Roots</t>
  </si>
  <si>
    <t>Lo Bello, Anthony</t>
  </si>
  <si>
    <t>The Johns Hopkins Guide to Digital Media</t>
  </si>
  <si>
    <t>Ryan, Marie-Laure;Emerson, Lori;Robertson, Benjamin J.</t>
  </si>
  <si>
    <t>Mass media - Technological innovations - Social aspects</t>
  </si>
  <si>
    <t>Freshwater Fishes of North America : Volume 1: Petromyzontidae to Catostomidae</t>
  </si>
  <si>
    <t>Warren, Melvin L., Jr.;Burr, Brooks M.;Tomelleri, Joseph R.</t>
  </si>
  <si>
    <t>Freshwater fishes -- North America.</t>
  </si>
  <si>
    <t>The Siddhāntasundara of Jñānarāja : An English Translation with Commentary</t>
  </si>
  <si>
    <t>Knudsen, Toke Lindegaard</t>
  </si>
  <si>
    <t>Jñanaraja, -- active 16th century. ; Hindu astrology -- Early works to 1800.</t>
  </si>
  <si>
    <t>Power and Succession in Arab Monarchies : A Reference Guide</t>
  </si>
  <si>
    <t>Lynne Rienner Publishers</t>
  </si>
  <si>
    <t>Kéchichian, Joseph A.</t>
  </si>
  <si>
    <t>321/.6</t>
  </si>
  <si>
    <t>Monarchy -- Persian Gulf Region -- Case studies. ; Political stability -- Persian Gulf Region -- Case studies. ; Petroleum industry and trade -- Government policy -- Persian Gulf Region -- Case studies. ; Petroleum industry and trade -- Political aspects -- Persian Gulf Region -- Case studies. ; Persian Gulf Region -- Politics and government -- 21st century -- Case studies.</t>
  </si>
  <si>
    <t>Biographical Dictionary of Modern Egypt</t>
  </si>
  <si>
    <t>Goldschmidt, Arthur Jr.</t>
  </si>
  <si>
    <t>Egypt -- History -- 1517-1882 -- Biography -- Dictionaries. ; Egypt -- History -- 1798- -- Biography -- Dictionaries.</t>
  </si>
  <si>
    <t>Encyclopedia of the Israeli-Palestinian Conflict</t>
  </si>
  <si>
    <t>Rubenberg, Cheryl A.</t>
  </si>
  <si>
    <t>Arab-Israeli conflict -- Encyclopedias. ; Jewish-Arab relations -- History -- Encyclopedias. ; Israel -- Politics and government -- Encyclopedias. ; Palestine -- Politics and government -- 1948- -- Encyclopedias.</t>
  </si>
  <si>
    <t>Encyclopedia of Earth and Physical Sciences (2nd Edition)</t>
  </si>
  <si>
    <t>Marshall Cavendish</t>
  </si>
  <si>
    <t>Ethridge, Frank G.;Franceschetti, Donald R.</t>
  </si>
  <si>
    <t>Science; Science: General; Science: Geology</t>
  </si>
  <si>
    <t>500.2/03</t>
  </si>
  <si>
    <t>Earth sciences -- Encyclopedias. ; Physical sciences -- Encyclopedias.</t>
  </si>
  <si>
    <t>Great World Writers : Twentieth Century</t>
  </si>
  <si>
    <t xml:space="preserve">O'Neil, Patrick M.;O'Neil, Patrick M. </t>
  </si>
  <si>
    <t>809/.04 B</t>
  </si>
  <si>
    <t>Literature, Modern -- 20th century -- Bio-bibliography -- Dictionaries. ; Authors -- 20th century -- Biography -- Dictionaries. ; Literature, Modern -- 20th century -- History and criticism.</t>
  </si>
  <si>
    <t>Encyclopedia of Health</t>
  </si>
  <si>
    <t>Kinsey, Brian;Ellis, Lesley</t>
  </si>
  <si>
    <t>Medicine, Popular -- Encyclopedias. ; Health -- Encyclopedias.</t>
  </si>
  <si>
    <t>Encyclopedia of the Aquatic World</t>
  </si>
  <si>
    <t>Jackson, John</t>
  </si>
  <si>
    <t>578.76/03</t>
  </si>
  <si>
    <t>Aquatic organisms -- Encyclopedias.</t>
  </si>
  <si>
    <t>Encyclopedia of Life Sciences</t>
  </si>
  <si>
    <t>O'Daly, Anne</t>
  </si>
  <si>
    <t>570/.3</t>
  </si>
  <si>
    <t>Life sciences -- Encyclopedias. ; Biology -- Encyclopedias.</t>
  </si>
  <si>
    <t>Essentials of Programming Languages</t>
  </si>
  <si>
    <t>MIT Press</t>
  </si>
  <si>
    <t>The MIT Press Ser.</t>
  </si>
  <si>
    <t>Friedman, Daniel P.;Wand, Mitchell</t>
  </si>
  <si>
    <t>Programming languages (Electronic computers)</t>
  </si>
  <si>
    <t>Networked : The New Social Operating System</t>
  </si>
  <si>
    <t>Rainie, Lee;Wellman, Barry</t>
  </si>
  <si>
    <t>006.7/54</t>
  </si>
  <si>
    <t>Internet - Social aspects</t>
  </si>
  <si>
    <t>Computing : A Concise History</t>
  </si>
  <si>
    <t>MIT Press Essential Knowledge Ser.</t>
  </si>
  <si>
    <t>Ceruzzi, Paul E.;Ceruzzi, Paul E.</t>
  </si>
  <si>
    <t>Computer science -- History.</t>
  </si>
  <si>
    <t>Algorithms Unlocked</t>
  </si>
  <si>
    <t>Cormen, Thomas H.</t>
  </si>
  <si>
    <t>Computer algorithms</t>
  </si>
  <si>
    <t>Moving Innovation : A History of Computer Animation</t>
  </si>
  <si>
    <t>Sito, Tom</t>
  </si>
  <si>
    <t>Computer animation -- History. ; Animation (Cinematography) -- History.</t>
  </si>
  <si>
    <t>Crowdsourcing</t>
  </si>
  <si>
    <t>The MIT Press Essential Knowledge Ser.</t>
  </si>
  <si>
    <t>Brabham, Daren C.</t>
  </si>
  <si>
    <t>Human computation</t>
  </si>
  <si>
    <t>Matter and Consciousness, Third Edition</t>
  </si>
  <si>
    <t>Churchland, Paul M.</t>
  </si>
  <si>
    <t>Psychology; Philosophy</t>
  </si>
  <si>
    <t>128/.2</t>
  </si>
  <si>
    <t>Philosophy of mind. ; Intellect. ; Consciousness. ; Cognition. ; Artificial intelligence. ; Neurology.</t>
  </si>
  <si>
    <t>Memes in Digital Culture : Memes in Digital Culture</t>
  </si>
  <si>
    <t>Shifman, Limor</t>
  </si>
  <si>
    <t>Social evolution. ; Memes. ; Culture diffusion. ; Internet -- Social aspects. ; Memetics.</t>
  </si>
  <si>
    <t>The New Visual Neurosciences</t>
  </si>
  <si>
    <t>Werner, John S.;Chalupa, Leo M.;Blake, Randolph;Brainard, David H.;Callaway, Edward M.;Demb, Jonathan;Freeman, Ralph;Garrett, Andrew;Gilbert, Charles D.;Goodale, Melvyn</t>
  </si>
  <si>
    <t>Science: Biology/Natural History; Science: Anatomy/Physiology; Science</t>
  </si>
  <si>
    <t>Visual pathways</t>
  </si>
  <si>
    <t>Big Ideas in Macroeconomics : A Nontechnical View</t>
  </si>
  <si>
    <t>Athreya, Kartik B.</t>
  </si>
  <si>
    <t>Macroeconomics. ; Economics.</t>
  </si>
  <si>
    <t>Visual Insights : A Practical Guide to Making Sense of Data</t>
  </si>
  <si>
    <t>Börner, Katy;Polley, David E.</t>
  </si>
  <si>
    <t>Computer Science/IT; General Works/Reference</t>
  </si>
  <si>
    <t>001.4/226028566</t>
  </si>
  <si>
    <t>Information visualization. ; Visualization -- Data processing. ; Data mining -- Computer programs. ; Computer graphics. ; MOOCs (Web-based instruction) ; Distance education -- Computer-assisted instruction. ; Internet in education.</t>
  </si>
  <si>
    <t>The Copyright Book, Sixth Edition : A Practical Guide</t>
  </si>
  <si>
    <t>Strong, William S.</t>
  </si>
  <si>
    <t>346.7304/82</t>
  </si>
  <si>
    <t>Copyright -- United States.</t>
  </si>
  <si>
    <t>The Conscious Mind</t>
  </si>
  <si>
    <t>Torey, Zoltan</t>
  </si>
  <si>
    <t>Cognition. ; Consciousness. ; Brain.</t>
  </si>
  <si>
    <t>Understanding Beliefs</t>
  </si>
  <si>
    <t>Nilsson, Nils J.</t>
  </si>
  <si>
    <t>121/.6</t>
  </si>
  <si>
    <t>Belief and doubt.</t>
  </si>
  <si>
    <t>MOOCs</t>
  </si>
  <si>
    <t>Haber, Jonathan</t>
  </si>
  <si>
    <t>MOOCs (Web-based instruction) ; Distance education. ; Web-based instruction. ; Computer-assisted instruction. ; Educational technology.</t>
  </si>
  <si>
    <t>Understanding Global Crises : An Emerging Paradigm</t>
  </si>
  <si>
    <t>Razin, Assaf</t>
  </si>
  <si>
    <t>338.5/42</t>
  </si>
  <si>
    <t>Financial crises</t>
  </si>
  <si>
    <t>Processing : A Programming Handbook for Visual Designers and Artists</t>
  </si>
  <si>
    <t>Reas, Casey;Fry, Ben</t>
  </si>
  <si>
    <t>Computer art - Computer programs</t>
  </si>
  <si>
    <t>Video Games Around the World</t>
  </si>
  <si>
    <t>Wolf, Mark J. P.;Iwatani, Toru;Ahmadi, Ahmad;Alves, Lynn Rosalina Gama;Apperley, Tom;Arsenault, Dominic;Averbuj, Guillermo;Beregi, Tamás;Blanchet, Alexis;Budziszewski, P. Konrad</t>
  </si>
  <si>
    <t>Video games. ; Video games -- Cross-cultural studies.</t>
  </si>
  <si>
    <t>No-Nonsense Guide to World Poverty</t>
  </si>
  <si>
    <t>New Internationalist</t>
  </si>
  <si>
    <t>No-Nonsense Guides</t>
  </si>
  <si>
    <t>Seabrook, Jeremy</t>
  </si>
  <si>
    <t>Poverty. ; Economic history.</t>
  </si>
  <si>
    <t>No-Nonsense Guide to Science</t>
  </si>
  <si>
    <t>Ravetz, Jerome</t>
  </si>
  <si>
    <t>Science. ; Science -- Social aspects.</t>
  </si>
  <si>
    <t>No-Nonsense Guide to Islam</t>
  </si>
  <si>
    <t>Davies, Merryl Wyn;Sardar, Ziauddin</t>
  </si>
  <si>
    <t>Islam. ; Religions.</t>
  </si>
  <si>
    <t>No-Nonsense Guide to Human Rights</t>
  </si>
  <si>
    <t>Ball, Olivia;Gready, Paul</t>
  </si>
  <si>
    <t>Human rights. ; Human security.</t>
  </si>
  <si>
    <t>No-Nonsense Guide to World Health</t>
  </si>
  <si>
    <t>Usdin, Shereen</t>
  </si>
  <si>
    <t>World health. ; World health. ; Medical policy. ; Public health -- Social aspects.</t>
  </si>
  <si>
    <t>No-Nonsense Guide to Tourism</t>
  </si>
  <si>
    <t>Nowicka, Pamela</t>
  </si>
  <si>
    <t>Economics; Tourism/Hospitality</t>
  </si>
  <si>
    <t>Tourism. ; Tourism -- Social aspects. ; Ecotourism.</t>
  </si>
  <si>
    <t>No-Nonsense Guide to Sexual Diversity</t>
  </si>
  <si>
    <t>Baird, Vanessa</t>
  </si>
  <si>
    <t>Sexual minorities. ; Homosexuality. ; Bisexuality. ; Transgenderism. ; Eunuchs. ; Intersexuality.</t>
  </si>
  <si>
    <t>No-Nonsense Guide to International Development</t>
  </si>
  <si>
    <t>Black, Maggie</t>
  </si>
  <si>
    <t>Development economics. ; Economic development.</t>
  </si>
  <si>
    <t>No-Nonsense Guide to Fair Trade</t>
  </si>
  <si>
    <t>Ransom, David</t>
  </si>
  <si>
    <t>Exploitation. ; International trade -- Moral and ethical aspects. ; Price maintenance -- Developing countries. ; Restraint of trade. ; Developing countries -- Commerce.</t>
  </si>
  <si>
    <t>No-Nonsense Guide to Conflict and Peace</t>
  </si>
  <si>
    <t xml:space="preserve">Ware, Helen;Greener, Peter ;Iribarnegaray, Deanna ;Ware, Helen </t>
  </si>
  <si>
    <t>Conflict management. ; Culture conflict. ; International relations. ; Peaceful change (International relations) ; War, Cost of.</t>
  </si>
  <si>
    <t>No-Nonsense Guide to Degrowth &amp; Sustainability</t>
  </si>
  <si>
    <t xml:space="preserve">Ellwood, Wayne;Brazier, Chris </t>
  </si>
  <si>
    <t>Economic development -- History. ; Sustainable development. ; Environmental economics.</t>
  </si>
  <si>
    <t>Mental Health Disorders Sourcebook</t>
  </si>
  <si>
    <t>Omnigraphics, Incorporated</t>
  </si>
  <si>
    <t>Omnigraphics</t>
  </si>
  <si>
    <t>Health Reference Series</t>
  </si>
  <si>
    <t>Bellenir, Karen</t>
  </si>
  <si>
    <t>Mental illness. ; Psychiatry.</t>
  </si>
  <si>
    <t>Essential Fashion Illustration: Color and Medium</t>
  </si>
  <si>
    <t>Quarto Publishing Group USA</t>
  </si>
  <si>
    <t>Vilaseca, Estel</t>
  </si>
  <si>
    <t>Fashion drawing. ; Fashion design. ; Color.</t>
  </si>
  <si>
    <t>Essential Fashion Illustration: Men</t>
  </si>
  <si>
    <t>Wayne, Chidy</t>
  </si>
  <si>
    <t>Fashion drawing. ; Fashion design. ; Men''s clothing.</t>
  </si>
  <si>
    <t>Atlas of Fashion Designers</t>
  </si>
  <si>
    <t>Eceiza, Laura</t>
  </si>
  <si>
    <t>Fashion designers -- Atlases.</t>
  </si>
  <si>
    <t>Atlas of Graphic Designers</t>
  </si>
  <si>
    <t xml:space="preserve">Stanic, Elena;Corina, Lipavsky;Francisco, Maia </t>
  </si>
  <si>
    <t>Graphic artists -- Atlases.</t>
  </si>
  <si>
    <t>Forms, Folds and Sizes, Second Edition : All the Details Graphic Designers Need to Know but Can Never Find</t>
  </si>
  <si>
    <t>Sherin, Aaris;Evans, Poppy</t>
  </si>
  <si>
    <t>Engineering; Engineering: Manufacturing; General Works/Reference</t>
  </si>
  <si>
    <t>Printing -- Handbooks, manuals, etc. ; Graphic design (Typography) -- Handbooks, manuals, etc. ; Packaging -- Handbooks, manuals, etc. ; Shippers'' guides.</t>
  </si>
  <si>
    <t>Essential Fashion Illustration: Details</t>
  </si>
  <si>
    <t>Lafuente, Maite</t>
  </si>
  <si>
    <t>Fashion drawing.</t>
  </si>
  <si>
    <t>Essential Fashion Illustration: Poses</t>
  </si>
  <si>
    <t>Feminists Who Changed America, 1963-1975</t>
  </si>
  <si>
    <t>University of Illinois Press</t>
  </si>
  <si>
    <t>Love, Barbara J.;Cott, Nancy F.</t>
  </si>
  <si>
    <t>305.42092/273 B</t>
  </si>
  <si>
    <t>Feminists -- United States -- Biography. ; Feminism -- United States -- History -- 20th century.</t>
  </si>
  <si>
    <t>The Milton Encyclopedia</t>
  </si>
  <si>
    <t>Yale University Press</t>
  </si>
  <si>
    <t xml:space="preserve">Corns, Thomas N.;Corns, Senior Lecturer Department of English Thomas N </t>
  </si>
  <si>
    <t>821/.4</t>
  </si>
  <si>
    <t>Milton, John, -- 1608-1674 -- Encyclopedias. ; English literature -- Early modern, 1500-1700 -- Encyclopedias.</t>
  </si>
  <si>
    <t>The Dictionary of Modern Proverbs</t>
  </si>
  <si>
    <t>Doyle, Charles C;Mieder, Wolfgang;Shapiro, Fred R.</t>
  </si>
  <si>
    <t>Social Science; Literature</t>
  </si>
  <si>
    <t>398.9/2103</t>
  </si>
  <si>
    <t>Proverbs, English. ; Proverbs, American.</t>
  </si>
  <si>
    <t>Introduction to the Bible</t>
  </si>
  <si>
    <t>Open Yale Courses</t>
  </si>
  <si>
    <t>Hayes, Christine</t>
  </si>
  <si>
    <t>221.6/1</t>
  </si>
  <si>
    <t>Bible. -- O.T. -- Introductions.</t>
  </si>
  <si>
    <t>Political Philosophy</t>
  </si>
  <si>
    <t>Smith, Steven B.</t>
  </si>
  <si>
    <t>Political science -- Philosophy -- History.</t>
  </si>
  <si>
    <t>Russian-English Dictionary of Idioms</t>
  </si>
  <si>
    <t>Lubensky, Sophia</t>
  </si>
  <si>
    <t>History; Language/Linguistics</t>
  </si>
  <si>
    <t>Russian language -- Idioms -- Dictionaries -- English.</t>
  </si>
  <si>
    <t>Holidays, Festivals and Celebrations of the World Dictionary</t>
  </si>
  <si>
    <t>Holidays -- Dictionaries. ; Festivals -- Dictionaries.</t>
  </si>
  <si>
    <t>Timor-Leste’s Bill of Rights : A Preliminary History</t>
  </si>
  <si>
    <t>ANU Press</t>
  </si>
  <si>
    <t>Devereux, Annemarie</t>
  </si>
  <si>
    <t>Human rights -- Timor-Leste. ; Civil rights -- Timor-Leste. ; Political participation -- Timor-Leste. ; Nation-building -- Timor-Leste. ; Constitutional history -- Timor-Leste. ; Timor-Leste -- Constitutional history. ; Timor-Leste -- Politics and government -- 2002-</t>
  </si>
  <si>
    <t>Dictionary of World Biography</t>
  </si>
  <si>
    <t>Jones, Barry</t>
  </si>
  <si>
    <t>Biography -- Dictionaries.</t>
  </si>
  <si>
    <t>Performance Management Handbook for Emerging Markets</t>
  </si>
  <si>
    <t>Knowres Publishing</t>
  </si>
  <si>
    <t>Bussin, Mark</t>
  </si>
  <si>
    <t>Management by objectives. ; Organizational behavior. ; Performance standards.</t>
  </si>
  <si>
    <t>Pocket Guide to World Religions</t>
  </si>
  <si>
    <t>Corduan, Winfried</t>
  </si>
  <si>
    <t>Religions.</t>
  </si>
  <si>
    <t>International Encyclopedia of Abbreviations and Acronyms in Science and Technology (Internationale Enzyklopädie der Abkürzungen und Akronyme in Wissenschaft und Technik) : Abrüstung, Friedenspolitik, Militärpolitik und -wissenschaft</t>
  </si>
  <si>
    <t>Peschke, Michael</t>
  </si>
  <si>
    <t>Military art and science -- Abbreviations -- Encyclopedias. ; Science -- Abbreviations -- Encyclopedias. ; Technology -- Abbreviations -- Encyclopedias.</t>
  </si>
  <si>
    <t>Arab-Islamic Biographical Index</t>
  </si>
  <si>
    <t>Cikar, Mustafa;Çikar, Jutta</t>
  </si>
  <si>
    <t>Arab countries -- Biography -- Dictionaries. ; Arab countries -- Biography -- Indexes. ; Islamic Empire -- Biography -- Dictionaries. ; Islamic Empire -- Biography -- Indexes.</t>
  </si>
  <si>
    <t>The Palgrave International Handbook of Peace Studies : A Cultural Perspective</t>
  </si>
  <si>
    <t>Palgrave Macmillan Limited</t>
  </si>
  <si>
    <t>Dietrich, Wolfgang;Echavarría Alvarez, Josefina;Esteva, Gustavo;Ingruber, Daniela;Koppensteiner, Norbert</t>
  </si>
  <si>
    <t>Social Science; Political Science</t>
  </si>
  <si>
    <t>International relations</t>
  </si>
  <si>
    <t>A Companion to Ancient Egyptian Art</t>
  </si>
  <si>
    <t xml:space="preserve">Hartwig, Melinda K.;Hartwig, Melinda </t>
  </si>
  <si>
    <t>Art, Ancient - Egypt</t>
  </si>
  <si>
    <t>A Companion to Celebrity</t>
  </si>
  <si>
    <t>Marshall, P. David;Redmond, Sean</t>
  </si>
  <si>
    <t>305.5/2</t>
  </si>
  <si>
    <t>Fame -- Social aspects. ; Celebrities. ; Celebrities in mass media. ; Mass media -- Social aspects. ; Mass media and publicity. ; Mass media and culture.</t>
  </si>
  <si>
    <t>A Companion to Archaic Greece</t>
  </si>
  <si>
    <t>Raaflaub, Kurt A.;van Wees, Hans</t>
  </si>
  <si>
    <t>Greece - Civilization - To 146 B.C</t>
  </si>
  <si>
    <t>A Companion to the English Novel</t>
  </si>
  <si>
    <t xml:space="preserve">Arata, Stephen;Haley, Madigan;Hunter, J. Paul;Wicke, Jennifer;Arata, Stephen ;Haley, Madigan ;Hunter, J Paul ;Wicke, Jennifer </t>
  </si>
  <si>
    <t>LITERARY CRITICISM / General</t>
  </si>
  <si>
    <t>A Companion to Derrida</t>
  </si>
  <si>
    <t>Direk, Zeynep;Lawlor, Leonard</t>
  </si>
  <si>
    <t>PHILOSOPHY / History &amp; Surveys / Modern</t>
  </si>
  <si>
    <t>A Companion to the Modern American Novel, 1900 - 1950</t>
  </si>
  <si>
    <t>Matthews, John T.;Matthews, John T.</t>
  </si>
  <si>
    <t>813/.5209</t>
  </si>
  <si>
    <t>Modernism (Literature) - United States</t>
  </si>
  <si>
    <t>The Wiley Blackwell Companion to Latino/a Theology</t>
  </si>
  <si>
    <t>Espin, Orlando O.</t>
  </si>
  <si>
    <t>230.089/68073</t>
  </si>
  <si>
    <t>Hispanic American theology</t>
  </si>
  <si>
    <t>The Handbook of Gangs</t>
  </si>
  <si>
    <t>Wiley Handbooks in Criminology and Criminal Justice Ser.</t>
  </si>
  <si>
    <t>Decker, Scott H.;Pyrooz, David C.</t>
  </si>
  <si>
    <t>Gangs. ; Gangs -- Handbooks, manuals, etc.</t>
  </si>
  <si>
    <t>The Essential Academic Dean or Provost : A Comprehensive Desk Reference</t>
  </si>
  <si>
    <t>Deans (Education) ; Universities and colleges -- Administration.</t>
  </si>
  <si>
    <t>The Winchester Guide to Keywords and Concepts for International Students in Art, Media and Design</t>
  </si>
  <si>
    <t xml:space="preserve">Makhoul, Annie;Morley, Simon;Morley, Simon </t>
  </si>
  <si>
    <t>Design</t>
  </si>
  <si>
    <t>The Wiley Blackwell Companion to Zoroastrianism</t>
  </si>
  <si>
    <t>Stausberg, Michael;Vevaina, Yuhan Sohrab-Dinshaw;Tessmann, Anna</t>
  </si>
  <si>
    <t>Zoroastrianism</t>
  </si>
  <si>
    <t>A Companion to the U. S. Civil War</t>
  </si>
  <si>
    <t>Sheehan-Dean, Aaron</t>
  </si>
  <si>
    <t>HISTORY / United States / 19th Century</t>
  </si>
  <si>
    <t>Essentials of Assessing, Preventing, and Overcoming Reading Difficulties</t>
  </si>
  <si>
    <t>Kilpatrick, David A.;Kaufman, Alan S.;Kaufman, Nadeen L.</t>
  </si>
  <si>
    <t>Reading. ; Language and languages.</t>
  </si>
  <si>
    <t>A Companion to Roman Art</t>
  </si>
  <si>
    <t>Borg, Barbara E.</t>
  </si>
  <si>
    <t>Art, Roman</t>
  </si>
  <si>
    <t>The Wiley Handbook of Eating Disorders</t>
  </si>
  <si>
    <t>Smolak, Linda;Levine, Michael P.</t>
  </si>
  <si>
    <t>616.85/26</t>
  </si>
  <si>
    <t>PSYCHOLOGY / Clinical Psychology</t>
  </si>
  <si>
    <t>The Wiley Blackwell Handbook of the Psychology of Occupational Safety and Workplace Health</t>
  </si>
  <si>
    <t>Clarke, Sharon;Probst, Tahira M.;Guldenmund, Frank W.;Passmore, Jonathan</t>
  </si>
  <si>
    <t>Industrial hygiene - Psychological aspects</t>
  </si>
  <si>
    <t>A Companion to Julius Caesar</t>
  </si>
  <si>
    <t>Griffin, Miriam</t>
  </si>
  <si>
    <t>Generals - Rome</t>
  </si>
  <si>
    <t>A Companion to Custer and the Little Bighorn Campaign</t>
  </si>
  <si>
    <t>Lookingbill, Brad D.</t>
  </si>
  <si>
    <t>Custer, George A. -- (George Armstrong), -- 1839-1876. ; Little Bighorn, Battle of the, Mont., 1876. ; Little Bighorn Battlefield National Monument (Mont.)</t>
  </si>
  <si>
    <t>A Companion to the Anthropology of the Body and Embodiment</t>
  </si>
  <si>
    <t>Mascia-Lees, Frances E.;Mascia-Lees, Frances E.</t>
  </si>
  <si>
    <t>A Companion to Mexican History and Culture</t>
  </si>
  <si>
    <t>Beezley, William H.</t>
  </si>
  <si>
    <t>HISTORY / Latin America / General</t>
  </si>
  <si>
    <t>A Companion to Richard M. Nixon</t>
  </si>
  <si>
    <t>Small, Melvin</t>
  </si>
  <si>
    <t>973.924092 B</t>
  </si>
  <si>
    <t>Nixon, Richard M</t>
  </si>
  <si>
    <t>A Companion to Benjamin Franklin</t>
  </si>
  <si>
    <t>Waldstreicher, David</t>
  </si>
  <si>
    <t>973.3092 B</t>
  </si>
  <si>
    <t>HISTORY / United States / Colonial Period (1600-1775)</t>
  </si>
  <si>
    <t>A Companion to James Joyce</t>
  </si>
  <si>
    <t>Brown, Richard</t>
  </si>
  <si>
    <t>823/.912</t>
  </si>
  <si>
    <t>Joyce, James - Criticism and interpretation</t>
  </si>
  <si>
    <t>A Companion to American Literary Studies</t>
  </si>
  <si>
    <t>Levander, Caroline F.;Levine, Robert S.</t>
  </si>
  <si>
    <t>A Companion to Poetic Genre</t>
  </si>
  <si>
    <t>Martiny, Erik</t>
  </si>
  <si>
    <t>LITERARY CRITICISM / Poetry</t>
  </si>
  <si>
    <t>A Companion to Bioethics</t>
  </si>
  <si>
    <t>Singer, Peter;Kuhse, Helga</t>
  </si>
  <si>
    <t>Medicine; Philosophy</t>
  </si>
  <si>
    <t>A Companion to Jane Austen</t>
  </si>
  <si>
    <t>Johnson, Claudia L.;Tuite, Clara</t>
  </si>
  <si>
    <t>Austen, Jane - Criticism and interpretation</t>
  </si>
  <si>
    <t>A Companion to the Anthropology of Europe</t>
  </si>
  <si>
    <t xml:space="preserve">Kockel, Ullrich;Frykman, Jonas;Craith, Máiréad Nic;Craith, Máiréad Nic;Craith, M?iread Nic ;Craith, M Iread Nic </t>
  </si>
  <si>
    <t>A Companion to Families in the Greek and Roman Worlds</t>
  </si>
  <si>
    <t>Rawson, Beryl</t>
  </si>
  <si>
    <t>Families - Greece - History</t>
  </si>
  <si>
    <t>A Brief History of American Literature</t>
  </si>
  <si>
    <t>Gray, Richard</t>
  </si>
  <si>
    <t>United States - Literatures - History and criticism</t>
  </si>
  <si>
    <t>A Companion to Medical Anthropology</t>
  </si>
  <si>
    <t xml:space="preserve">Singer, Merrill;Erickson, Pamela I.;Singer, Professor Merrill ;Erickson, Pamela I </t>
  </si>
  <si>
    <t>A Brief History of the Soul</t>
  </si>
  <si>
    <t>Brief Histories of Philosophy Ser.</t>
  </si>
  <si>
    <t>Goetz, Stewart;Taliaferro, Charles</t>
  </si>
  <si>
    <t>128/.109</t>
  </si>
  <si>
    <t>Soul</t>
  </si>
  <si>
    <t>A Companion to the Anthropology of Education</t>
  </si>
  <si>
    <t>Wiley Blackwell Companions to Anthropology</t>
  </si>
  <si>
    <t xml:space="preserve">Levinson, Bradley A.;Pollock, Mica;Levinson, Bradley A U ;Pollock, Mica </t>
  </si>
  <si>
    <t>A Companion to Greek Mythology</t>
  </si>
  <si>
    <t>Dowden, Ken;Livingstone, Niall</t>
  </si>
  <si>
    <t>Greece - Religion</t>
  </si>
  <si>
    <t>A Brief History of Justice</t>
  </si>
  <si>
    <t>Johnston, David</t>
  </si>
  <si>
    <t>172/.209</t>
  </si>
  <si>
    <t>PHILOSOPHY / General</t>
  </si>
  <si>
    <t>The Wiley Blackwell Companion to Practical Theology</t>
  </si>
  <si>
    <t>Miller-McLemore, Bonnie J.;Miller-McLemore, Bonnie J.</t>
  </si>
  <si>
    <t>The Wiley-Blackwell Companion to Chinese Religions</t>
  </si>
  <si>
    <t>Nadeau, Randall L.</t>
  </si>
  <si>
    <t>China - Religion</t>
  </si>
  <si>
    <t>The Wiley-Blackwell Encyclopedia of Eighteenth-Century Writers and Writing 1660 - 1789</t>
  </si>
  <si>
    <t>Baines, Paul;Ferraro, Julian;Rogers, Pat</t>
  </si>
  <si>
    <t>English literature - 18th century</t>
  </si>
  <si>
    <t>The Wiley-Blackwell Dictionary of Modern European History Since 1789</t>
  </si>
  <si>
    <t>Atkin, Nicholas;Biddiss, Michael;Tallett, Frank</t>
  </si>
  <si>
    <t>HISTORY / Modern / General</t>
  </si>
  <si>
    <t>Brill's Companion to Ancient Geography : The Inhabited World in Greek and Roman Tradition</t>
  </si>
  <si>
    <t>Bianchetti, Serena;Cataudella, Michele;Gehrke, Hans-Joachim</t>
  </si>
  <si>
    <t>Geography, Ancient</t>
  </si>
  <si>
    <t>The Wiley-Blackwell Handbook of the Psychology of Coaching and Mentoring</t>
  </si>
  <si>
    <t>Passmore, Jonathan;Peterson, David;Freire, Teresa</t>
  </si>
  <si>
    <t>Personal coaching</t>
  </si>
  <si>
    <t>Fundamentals of Project Management</t>
  </si>
  <si>
    <t>AMACOM</t>
  </si>
  <si>
    <t>Heagney, Joseph</t>
  </si>
  <si>
    <t>Project management</t>
  </si>
  <si>
    <t>The Cambridge Companion to Mozart</t>
  </si>
  <si>
    <t>Cambridge Companions to Music</t>
  </si>
  <si>
    <t>Keefe, Simon P.;Cross, Jonathan</t>
  </si>
  <si>
    <t>Mozart, Wolfgang Amadeus, 1756-1791--Criticism and interpretation.</t>
  </si>
  <si>
    <t>The Cambridge Companion to Debussy</t>
  </si>
  <si>
    <t>Trezise, Simon;Cross, Jonathan</t>
  </si>
  <si>
    <t>France</t>
  </si>
  <si>
    <t>The Cambridge Companion to Stravinsky</t>
  </si>
  <si>
    <t>Cross, Jonathan</t>
  </si>
  <si>
    <t>Stravinsky, Igor, 1882-1971--Criticism and interpretation.</t>
  </si>
  <si>
    <t>The Cambridge Companion to Verdi</t>
  </si>
  <si>
    <t>Balthazar, Scott L.;Cross, Jonathan</t>
  </si>
  <si>
    <t>Composers - Italy - Biography</t>
  </si>
  <si>
    <t>First Ladies of the United States : A Biographical Dictionary</t>
  </si>
  <si>
    <t>Watson, Robert P.</t>
  </si>
  <si>
    <t>Presidents' spouses--United States--Biography--Dictionaries.</t>
  </si>
  <si>
    <t>Guide to Methods for Students of Political Science</t>
  </si>
  <si>
    <t>Van Evera, Stephen</t>
  </si>
  <si>
    <t>Political science--Methodology.</t>
  </si>
  <si>
    <t>The Healthcare Professional's Guide to Human Research</t>
  </si>
  <si>
    <t>Plural Publishing, Incorporated</t>
  </si>
  <si>
    <t>Biomedical Research - methods</t>
  </si>
  <si>
    <t>Handbook of Jewish Languages</t>
  </si>
  <si>
    <t>Kahn, Lily;Rubin, Aaron D.</t>
  </si>
  <si>
    <t>Jews--Languages.</t>
  </si>
  <si>
    <t>A Companion to Priesthood and Holy Orders in the Middle Ages</t>
  </si>
  <si>
    <t>Brill's Companions to the Christian Tradition Ser.</t>
  </si>
  <si>
    <t>Peters, Greg;Anderson, C. Colt</t>
  </si>
  <si>
    <t>262/.140902</t>
  </si>
  <si>
    <t>Priesthood - History</t>
  </si>
  <si>
    <t>The Complete Review Guide to Contemporary World Fiction</t>
  </si>
  <si>
    <t>Orthofer, M.A.</t>
  </si>
  <si>
    <t>Fiction--History and criticism.</t>
  </si>
  <si>
    <t>Brill's Companion to the Study of Greek Comedy</t>
  </si>
  <si>
    <t>Dobrov, Gregory</t>
  </si>
  <si>
    <t>Greek drama (Comedy)--History and criticism.</t>
  </si>
  <si>
    <t>Handbook of Ugaritic Studies</t>
  </si>
  <si>
    <t>Watson, Wilfred;Wyatt, Nicolas</t>
  </si>
  <si>
    <t>Ugarit (Extinct city)</t>
  </si>
  <si>
    <t>A Dictionary of Samaritan Aramaic (2 Vols. )</t>
  </si>
  <si>
    <t>Tal, Abraham</t>
  </si>
  <si>
    <t>Samaritan Aramaic language--Dictionaries--Polyglot.</t>
  </si>
  <si>
    <t>A Phoenician-Punic Grammar</t>
  </si>
  <si>
    <t>Krahmalkov, Charles R.</t>
  </si>
  <si>
    <t>492/.6</t>
  </si>
  <si>
    <t>Phoenician language--Grammar.</t>
  </si>
  <si>
    <t>A Grammar of Egyptian Aramaic : Second Revised Edition</t>
  </si>
  <si>
    <t>Muraoka, T.;Porten, Bezalel</t>
  </si>
  <si>
    <t>Aramaic language--Egypt--Grammar.</t>
  </si>
  <si>
    <t>A Grammar of Neo-Aramaic : The Dialect of the Jews of Arbel</t>
  </si>
  <si>
    <t>Khan, Geoffrey</t>
  </si>
  <si>
    <t>492/.3</t>
  </si>
  <si>
    <t>Aramaic language--Dialects--Iraq--Irbil Region--Grammar.</t>
  </si>
  <si>
    <t>Handbook of Bibliometric Indicators : Quantitative Tools for Studying and Evaluating Research</t>
  </si>
  <si>
    <t>Todeschini, Roberto;Baccini, Alberto</t>
  </si>
  <si>
    <t>Bibliometrics--Handbooks, manuals, etc.</t>
  </si>
  <si>
    <t>Textual Curation : Authorship, Agency, and Technology in Wikipedia and Chambers's Cyclopædia</t>
  </si>
  <si>
    <t>University of South Carolina Press</t>
  </si>
  <si>
    <t>Studies in Rhetoric and Communication Ser.</t>
  </si>
  <si>
    <t>Benson, Thomas W.;Kennedy, Krista</t>
  </si>
  <si>
    <t>Curatorship</t>
  </si>
  <si>
    <t>A Companion to the Premodern Apocalypse</t>
  </si>
  <si>
    <t>Ryan, Michael A.</t>
  </si>
  <si>
    <t>228/.0609</t>
  </si>
  <si>
    <t>Apocalyptic literature--History and criticism.</t>
  </si>
  <si>
    <t>Encyclopedia of the Yoruba</t>
  </si>
  <si>
    <t>Falola, Toyin;Akinyemi, Akintunde</t>
  </si>
  <si>
    <t>Yoruba (African people) - Civilization</t>
  </si>
  <si>
    <t>Mussolini's Navy : A Reference Guide to the Regia Marina, 1930-1945</t>
  </si>
  <si>
    <t>Naval Institute Press</t>
  </si>
  <si>
    <t>Brescia, Maurizio;Zaio, Paola</t>
  </si>
  <si>
    <t>World War, 1939-1945--Naval operations, Italian.</t>
  </si>
  <si>
    <t>Annotated Bibliography of Quaternary Vertebrates of Northern North America</t>
  </si>
  <si>
    <t>University of Toronto Press</t>
  </si>
  <si>
    <t>Harington, C.R.;Harington, C. R.</t>
  </si>
  <si>
    <t>Science; Science: Zoology; General Works/Reference</t>
  </si>
  <si>
    <t>Vertebrates, Fossil--Canada--Bibliography.</t>
  </si>
  <si>
    <t>The Yale Biographical Dictionary of American Law</t>
  </si>
  <si>
    <t>Yale Law Library Series in Legal History and Reference</t>
  </si>
  <si>
    <t>Newman, Roger K.</t>
  </si>
  <si>
    <t>Law teachers - United States</t>
  </si>
  <si>
    <t>The Max Weber Dictionary : Key Words and Central Concepts, Second Edition</t>
  </si>
  <si>
    <t>Stanford University Press</t>
  </si>
  <si>
    <t>Swedberg, Richard;Agevall, Ola</t>
  </si>
  <si>
    <t>Cheney, Donald;Hamilton, A.C.;Richardson, David;Hamilton, A C;Barker, William W.</t>
  </si>
  <si>
    <t>Encyclopedia of Media and Communication</t>
  </si>
  <si>
    <t>Danesi, Marcel</t>
  </si>
  <si>
    <t>Semiotics</t>
  </si>
  <si>
    <t>Placing Names : Enriching and Integrating Gazetteers</t>
  </si>
  <si>
    <t>The Spatial Humanities Ser.</t>
  </si>
  <si>
    <t>Mostern, Ruth;Southall, Humphrey;Berman, Merrick Lex;Bol, Peter;Goodchild, Michael Frank;Kerfoot, Helen;Shaw, Ryan;Singh, Raj;Grossner, Karl;Janowicz, Krzysztof</t>
  </si>
  <si>
    <t>Gazetteers - History</t>
  </si>
  <si>
    <t>New Dictionary of Theology : Historical and Systematic</t>
  </si>
  <si>
    <t>Davie, Martin;Grass, Tim;Holmes, Stephen R.;McDowell, John;Singh, David Emmanuel;Vanhoozer, Kevin J.;Singh, David Emmanuel;Chia, Roland</t>
  </si>
  <si>
    <t>Theology-Dictionaries.</t>
  </si>
  <si>
    <t>Dictionary of Cape Breton English</t>
  </si>
  <si>
    <t>Davey, William John;MacKinnon, Richard P.</t>
  </si>
  <si>
    <t>English language--Dialects--Nova Scotia--Cape Breton Island--Glossaries, vocabularies, etc.</t>
  </si>
  <si>
    <t>The Arabic-Ethiopic Glossary by Al-Malik Al-Afḍal : An Annotated Edition with a Linguistic Introduction and a Lexical Index</t>
  </si>
  <si>
    <t>Bulakh, Maria;Kogan, Leonid</t>
  </si>
  <si>
    <t>Arabic language--Dictionaries--Ethiopian--Early works to 1800.</t>
  </si>
  <si>
    <t>Dialect Atlas of North Yemen and Adjacent Areas</t>
  </si>
  <si>
    <t>Behnstedt, Peter;Goldbloom, Gwendolin</t>
  </si>
  <si>
    <t>Arabic language--Dialects--Yemen, North.</t>
  </si>
  <si>
    <t>History of the Arabic Written Tradition Volume 2</t>
  </si>
  <si>
    <t>Brockelmann, Carl;Lameer, Joep</t>
  </si>
  <si>
    <t>892.7/09</t>
  </si>
  <si>
    <t>Arabic literature--History and criticism.</t>
  </si>
  <si>
    <t>History of the Arabic Written Tradition Volume 1</t>
  </si>
  <si>
    <t>The Science of Managing Our Digital Stuff</t>
  </si>
  <si>
    <t>Bergman, Ofer;Whittaker, Steve</t>
  </si>
  <si>
    <t>Personal information management</t>
  </si>
  <si>
    <t>GPS for Graduate School : Students Share Their Stories</t>
  </si>
  <si>
    <t>Purdue University Press</t>
  </si>
  <si>
    <t>Smith, Mark J.T.;Brown, M. M.;Johnson, Kiana;Peck, William</t>
  </si>
  <si>
    <t>378.1/55</t>
  </si>
  <si>
    <t>Universities and colleges--Graduate work--Handbooks, manuals, etc.</t>
  </si>
  <si>
    <t>Concise Encyclopedia of Comparative Sociology</t>
  </si>
  <si>
    <t>Sasaki, Masamichi;Zimmermann, Ekkart;Goldstone, Jack;Sanderson, Stephen K.;Fishman, Joshua</t>
  </si>
  <si>
    <t>Sociology--Encyclopedias.</t>
  </si>
  <si>
    <t>The Encyclopedia of British Film : Fourth Edition</t>
  </si>
  <si>
    <t>Manchester University Press</t>
  </si>
  <si>
    <t>McFarlane, Brian;Slide, Anthony</t>
  </si>
  <si>
    <t>Motion pictures--Great Britain--Encyclopedias.</t>
  </si>
  <si>
    <t>Mammoth Cave Curiosities : A Guide to Rockphobia, Dating, Saber-Toothed Cats, and Other Subterranean Marvels</t>
  </si>
  <si>
    <t>Olson, Colleen O'Connor</t>
  </si>
  <si>
    <t>Curiosities and wonders - Kentucky - Mammoth Cave</t>
  </si>
  <si>
    <t>Karaite Judaism : A Guide to Its History and Literary Sources</t>
  </si>
  <si>
    <t>Polliack, Meira</t>
  </si>
  <si>
    <t>296.8/1</t>
  </si>
  <si>
    <t>Karaites.</t>
  </si>
  <si>
    <t>Financial Aid Handbook, Revised Edition : Getting the Education You Want for the Price You Can Afford</t>
  </si>
  <si>
    <t>Red Wheel/Weiser</t>
  </si>
  <si>
    <t>Stack, Carol;Vedvik, Ruth</t>
  </si>
  <si>
    <t>Student aid--United States--Handbooks, manuals, etc.</t>
  </si>
  <si>
    <t>Get a Grip on Your Grammar : 250 Writing and Editing Reminders for the Curious or Confused</t>
  </si>
  <si>
    <t>Spisak, Kris</t>
  </si>
  <si>
    <t>English language--Grammar--Study and teaching.</t>
  </si>
  <si>
    <t>A Companion to the Greek Lyric Poets</t>
  </si>
  <si>
    <t>Mnemosyne, Supplements, the Classical Tradition Ser.</t>
  </si>
  <si>
    <t>Gerber, Douglas E.;Gerber, Douglas E;MacLachlan;Robbins</t>
  </si>
  <si>
    <t>884/.0109</t>
  </si>
  <si>
    <t>A Multilingual Dictionary of Maxims and Proverbs</t>
  </si>
  <si>
    <t>Cambridge Scholars Publisher</t>
  </si>
  <si>
    <t>Karagiorgos, Panos</t>
  </si>
  <si>
    <t>Proverbs.</t>
  </si>
  <si>
    <t>The Thiselton Companion to Christian Theology</t>
  </si>
  <si>
    <t>William B. Eerdmans Publishing Company</t>
  </si>
  <si>
    <t>Thiselton, Anthony C.</t>
  </si>
  <si>
    <t>Christianity--Dictionaries.</t>
  </si>
  <si>
    <t>The American Sign Language Handshape Starter : A Beginner's Guide</t>
  </si>
  <si>
    <t>Gallaudet University Press</t>
  </si>
  <si>
    <t>Tennant, Richard A.;Brown, Marianne Gluszak;Nelson-Metlay, Valerie</t>
  </si>
  <si>
    <t>American Sign Language.</t>
  </si>
  <si>
    <t>Bibliography of Natural History Travel Narratives</t>
  </si>
  <si>
    <t>Koninklijke Nederlandse Natuurhistorische Vereniging, Stichting Uitgeverij</t>
  </si>
  <si>
    <t>Troelstra, Anne S.</t>
  </si>
  <si>
    <t>Natural history--Bibliography.</t>
  </si>
  <si>
    <t>Old English Words and Terms : A Glossary for Historians</t>
  </si>
  <si>
    <t>Bristow, Joy</t>
  </si>
  <si>
    <t>Nursing Teas Guide</t>
  </si>
  <si>
    <t>BarCharts, Inc.</t>
  </si>
  <si>
    <t>BarCharts, Inc.;Henry</t>
  </si>
  <si>
    <t>Test of Essential Academic Skills-Study guides. ; College entrance achievement tests-United States-Study guides.</t>
  </si>
  <si>
    <t>MLA Guidelines</t>
  </si>
  <si>
    <t>Bibliographical citations-Handbooks, manuals, etc. ; Report writing-Handbooks, manuals, etc. ; Report writing-Outlines, syllabi, etc.</t>
  </si>
  <si>
    <t>APA Guidelines</t>
  </si>
  <si>
    <t>Smith, Thomas</t>
  </si>
  <si>
    <t>Education; Literature</t>
  </si>
  <si>
    <t>Report writing-Outlines, syllabi, etc. ; Authorship-Style manuals.</t>
  </si>
  <si>
    <t>Commonly Misspelled And Confused Words : QuickStudy Reference Guide</t>
  </si>
  <si>
    <t>Quickstudy: Academic</t>
  </si>
  <si>
    <t>BarCharts, Inc.;Thompson, Dominic;BarCharts Inc., Staff</t>
  </si>
  <si>
    <t>English language-Orthography and spelling-Outlines, syllabi, etc. ; English language-Orthography and spelling-Glossaries, vocabularies, etc.</t>
  </si>
  <si>
    <t>ANU Lives Series in Biography</t>
  </si>
  <si>
    <t>Biography--Dictionaries.</t>
  </si>
  <si>
    <t>Merriam-Webster's Concise Dictionary of English Usage</t>
  </si>
  <si>
    <t>Merriam-Webster</t>
  </si>
  <si>
    <t>Dictionaries</t>
  </si>
  <si>
    <t>Biomedical Engineering Dictionary of Technical Terms and Phrases : English to Arabic and Arabic to English</t>
  </si>
  <si>
    <t>Momentum Press</t>
  </si>
  <si>
    <t>Shady, Sally F.;Shady, Sally F.</t>
  </si>
  <si>
    <t>Engineering: General</t>
  </si>
  <si>
    <t>Encyclopedia of Nursing Research</t>
  </si>
  <si>
    <t>Fitzpatrick, Joyce</t>
  </si>
  <si>
    <t>Nursing--Research.</t>
  </si>
  <si>
    <t>The Chicago Food Encyclopedia</t>
  </si>
  <si>
    <t>Heartland Foodways Ser.</t>
  </si>
  <si>
    <t>Haddix, Carol;Kraig, Bruce</t>
  </si>
  <si>
    <t>Food--Illinois--Chicago--History--Encyclopedias.</t>
  </si>
  <si>
    <t>Brill's Companion to Anarchism and Philosophy</t>
  </si>
  <si>
    <t>Brill's Companions of Philosophy: Contemporary Philosophy Ser.</t>
  </si>
  <si>
    <t>Jun, Nathan J.</t>
  </si>
  <si>
    <t>Anarchism--Philosophy.</t>
  </si>
  <si>
    <t>Environmental Engineering Dictionary of Technical Terms and Phrases : English to Hungarian and Hungarian to English</t>
  </si>
  <si>
    <t>Hopcroft, Francis J.;Sirokman, Gergely</t>
  </si>
  <si>
    <t>Business/Management; Engineering: General</t>
  </si>
  <si>
    <t>A Guide to Mastery in Clinical Nursing : The Comprehensive Reference</t>
  </si>
  <si>
    <t>Fitzpatrick, Joyce;Alfes, Celeste M.;Hickman, Ronald</t>
  </si>
  <si>
    <t>Nursing.</t>
  </si>
  <si>
    <t>The Encyclopedia of Elder Care, Fourth Edition : The Comprehensive Resource on Geriatric Health and Social Care</t>
  </si>
  <si>
    <t>Capezuti, Elizabeth A.;Malone, Michael L.;Khan, Ariba;Baumann, Steven L.</t>
  </si>
  <si>
    <t>Older people-Care-United States-Encyclopedias. ; Older people-Care-Canada-Encyclopedias. ; Older people-Medical care-United States-Encyclopedias.</t>
  </si>
  <si>
    <t>Environmental Engineering Dictionary of Technical Terms and Phrases : English to Greek and Greek to English</t>
  </si>
  <si>
    <t>Michos, Georgios;Hopcroft, Francis J.</t>
  </si>
  <si>
    <t>The Pocket Universal Principles of Art : 100 Key Concepts for Understanding, Analyzing, and Practicing Art</t>
  </si>
  <si>
    <t>Parks, John A.</t>
  </si>
  <si>
    <t>Art-Dictionaries.</t>
  </si>
  <si>
    <t>The Government Manager's Guide to Plain Language</t>
  </si>
  <si>
    <t>Berrett-Koehler Publishers, Incorporated</t>
  </si>
  <si>
    <t>Myers, Judith G.</t>
  </si>
  <si>
    <t>Language/Linguistics; Business/Management</t>
  </si>
  <si>
    <t>GIDEON Guide to Surveys</t>
  </si>
  <si>
    <t>Gideon Informatics, Incorporated</t>
  </si>
  <si>
    <t>Gideon Informatics, Inc. Staff;Berger, Stephen</t>
  </si>
  <si>
    <t>Surveys-Statistical methods.</t>
  </si>
  <si>
    <t>GIDEON Guide to Outbreaks</t>
  </si>
  <si>
    <t>Communicable diseases-Statistics-Handbooks, manuals, etc.</t>
  </si>
  <si>
    <t>Legal Dictionary of Food Security in the World</t>
  </si>
  <si>
    <t>Éditions Larcier</t>
  </si>
  <si>
    <t>Dictionnaires Larcier</t>
  </si>
  <si>
    <t>Collart Dutilleul, François;Bugnicourt, Jean-Philippe</t>
  </si>
  <si>
    <t>Food security-Dictionaries.</t>
  </si>
  <si>
    <t>ANU Lives Series in Biography Ser.</t>
  </si>
  <si>
    <t>Biography-Dictionaries.</t>
  </si>
  <si>
    <t>Evaluating Scholarship and Research Impact : History, Practices, and Policy Development</t>
  </si>
  <si>
    <t>Great Debates in Higher Education Ser.</t>
  </si>
  <si>
    <t>Alstete, Jeffrey W.;Beutell, Nicholas J.;Meyer, John P.</t>
  </si>
  <si>
    <t>Scholarships.</t>
  </si>
  <si>
    <t>Dictionary of Digital Pictograms and Glossary for Internet Use and Portable Telephones</t>
  </si>
  <si>
    <t>Martin, Marcienne</t>
  </si>
  <si>
    <t>Computer Science/IT; Social Science</t>
  </si>
  <si>
    <t>Signs and symbols-Dictionaries. ; Semiotics.</t>
  </si>
  <si>
    <t>Latin Grammar : a QuickStudy Language Reference Guide</t>
  </si>
  <si>
    <t>Arnet, Liliane;Jacobs, Rachel</t>
  </si>
  <si>
    <t>Latin language-Grammar.</t>
  </si>
  <si>
    <t>Emotion and the Researcher : Sites, Subjectivities, and Relationships</t>
  </si>
  <si>
    <t>Studies in Qualitative Methodology Ser.</t>
  </si>
  <si>
    <t>Loughran, Tracey;Mannay, Dawn</t>
  </si>
  <si>
    <t>Emotions (Philosophy) ; Research.</t>
  </si>
  <si>
    <t>Annotated Bibliography of Southern American English</t>
  </si>
  <si>
    <t>University of Alabama Press</t>
  </si>
  <si>
    <t>McMillan, James B.;Montgomery, Michael B.;McMillan, James B.</t>
  </si>
  <si>
    <t>016.427/975</t>
  </si>
  <si>
    <t>English language-Southern States-Bibliography. ; English language-Dialects-Southern States-Bibliography. ; Americanisms-Southern States-Bibliography. ; Southern States-Languages-Bibliography.</t>
  </si>
  <si>
    <t>MemoryBanc : Your Workbook For Organizing Life: The Award-Winning System to Manage Your Documents, Accounts, and Assets</t>
  </si>
  <si>
    <t>Morgan James Publishing</t>
  </si>
  <si>
    <t>Bransford, Kay H.</t>
  </si>
  <si>
    <t>Personal information management.</t>
  </si>
  <si>
    <t>Emblems in Scotland : Motifs and Meanings</t>
  </si>
  <si>
    <t>SCROLL: Scottish Cultural Review of Language and Literature Ser.</t>
  </si>
  <si>
    <t>Bath, Michael</t>
  </si>
  <si>
    <t>Politics and culture-Scotland-History. ; Material culture-Scotland-History. ; Emblems, National-Scotland.</t>
  </si>
  <si>
    <t>German Verbs : a QuickStudy Language Reference Guide</t>
  </si>
  <si>
    <t>Listen, Paul</t>
  </si>
  <si>
    <t>German language-Verb-Tables. ; German language-Textbooks for foreign speakers-English.</t>
  </si>
  <si>
    <t>Handbook of Jewish Languages : Revised and Updated Edition</t>
  </si>
  <si>
    <t>Jews-Languages.</t>
  </si>
  <si>
    <t>Brill's Companion to Classics and Early Anthropology</t>
  </si>
  <si>
    <t>Brill's Companions to Classical Reception Ser.</t>
  </si>
  <si>
    <t>Varto, Emily</t>
  </si>
  <si>
    <t>The Governor General’s Literary Awards of Canada : A Bibliography</t>
  </si>
  <si>
    <t>University of Ottawa Press</t>
  </si>
  <si>
    <t>Irvine, Andrew David;Rivère, Edmond;Tolman, Stephanie</t>
  </si>
  <si>
    <t>Comprehensive Dictionary of Audiology : Illustrated</t>
  </si>
  <si>
    <t>Stach, Brad A.</t>
  </si>
  <si>
    <t>617.8/003</t>
  </si>
  <si>
    <t>Freud Verbatim : Quotations and Aphorisms</t>
  </si>
  <si>
    <t>ABRAMS (Ignition)</t>
  </si>
  <si>
    <t>Freud, Sigmund;Etzlstorfer, Hannes;Nömaier, Peter</t>
  </si>
  <si>
    <t>A Companion to Medieval Translation</t>
  </si>
  <si>
    <t>Arc Humanities Press</t>
  </si>
  <si>
    <t>Arc Companions Ser.</t>
  </si>
  <si>
    <t>Beer, Jeanette;Sweetenham, Carol</t>
  </si>
  <si>
    <t>Language/Linguistics; Literature</t>
  </si>
  <si>
    <t>Translating and interpreting-History. ; Literature, Medieval-Translations-History and criticism.</t>
  </si>
  <si>
    <t>The Churchill Companion : A Concise Guide to the Life &amp; Times of Winston S. Churchill</t>
  </si>
  <si>
    <t>RosettaBooks</t>
  </si>
  <si>
    <t>The Churchill Centre;Langworth, Richard M.</t>
  </si>
  <si>
    <t>Churchill, Winston,-1874-1965.</t>
  </si>
  <si>
    <t>Ultimate Bible Dictionary : A Quick and Concise Guide to the People, Places, Objects, and Events in the Bible</t>
  </si>
  <si>
    <t>B&amp;H Publishing Group</t>
  </si>
  <si>
    <t>Holman Bible Editorial Staff</t>
  </si>
  <si>
    <t>Bible-Dictionaries.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</si>
</sst>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18"/>
      <color theme="3"/>
      <name val="Calibri Light"/>
      <family val="2"/>
      <charset val="129"/>
      <scheme val="major"/>
    </font>
    <font>
      <b/>
      <sz val="15"/>
      <color theme="3"/>
      <name val="Calibri"/>
      <family val="2"/>
      <charset val="129"/>
      <scheme val="minor"/>
    </font>
    <font>
      <b/>
      <sz val="13"/>
      <color theme="3"/>
      <name val="Calibri"/>
      <family val="2"/>
      <charset val="129"/>
      <scheme val="minor"/>
    </font>
    <font>
      <b/>
      <sz val="11"/>
      <color theme="3"/>
      <name val="Calibri"/>
      <family val="2"/>
      <charset val="129"/>
      <scheme val="minor"/>
    </font>
    <font>
      <sz val="11"/>
      <color rgb="FF006100"/>
      <name val="Calibri"/>
      <family val="2"/>
      <charset val="129"/>
      <scheme val="minor"/>
    </font>
    <font>
      <sz val="11"/>
      <color rgb="FF9C0006"/>
      <name val="Calibri"/>
      <family val="2"/>
      <charset val="129"/>
      <scheme val="minor"/>
    </font>
    <font>
      <sz val="11"/>
      <color rgb="FF9C5700"/>
      <name val="Calibri"/>
      <family val="2"/>
      <charset val="129"/>
      <scheme val="minor"/>
    </font>
    <font>
      <sz val="11"/>
      <color rgb="FF3F3F76"/>
      <name val="Calibri"/>
      <family val="2"/>
      <charset val="129"/>
      <scheme val="minor"/>
    </font>
    <font>
      <b/>
      <sz val="11"/>
      <color rgb="FF3F3F3F"/>
      <name val="Calibri"/>
      <family val="2"/>
      <charset val="129"/>
      <scheme val="minor"/>
    </font>
    <font>
      <b/>
      <sz val="11"/>
      <color rgb="FFFA7D00"/>
      <name val="Calibri"/>
      <family val="2"/>
      <charset val="129"/>
      <scheme val="minor"/>
    </font>
    <font>
      <sz val="11"/>
      <color rgb="FFFA7D00"/>
      <name val="Calibri"/>
      <family val="2"/>
      <charset val="129"/>
      <scheme val="minor"/>
    </font>
    <font>
      <b/>
      <sz val="11"/>
      <color theme="0"/>
      <name val="Calibri"/>
      <family val="2"/>
      <charset val="129"/>
      <scheme val="minor"/>
    </font>
    <font>
      <sz val="11"/>
      <color rgb="FFFF0000"/>
      <name val="Calibri"/>
      <family val="2"/>
      <charset val="129"/>
      <scheme val="minor"/>
    </font>
    <font>
      <i/>
      <sz val="11"/>
      <color rgb="FF7F7F7F"/>
      <name val="Calibri"/>
      <family val="2"/>
      <charset val="129"/>
      <scheme val="minor"/>
    </font>
    <font>
      <b/>
      <sz val="11"/>
      <color theme="1"/>
      <name val="Calibri"/>
      <family val="2"/>
      <charset val="129"/>
      <scheme val="minor"/>
    </font>
    <font>
      <sz val="11"/>
      <color theme="0"/>
      <name val="Calibri"/>
      <family val="2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4"/>
  <sheetViews>
    <sheetView tabSelected="1" workbookViewId="0">
      <selection activeCell="P13" sqref="P13"/>
    </sheetView>
  </sheetViews>
  <sheetFormatPr defaultRowHeight="14.4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>
        <v>179196</v>
      </c>
      <c r="B2" t="s">
        <v>14</v>
      </c>
      <c r="C2" t="str">
        <f>"9780415056373"</f>
        <v>9780415056373</v>
      </c>
      <c r="D2" t="str">
        <f>"9780203167885"</f>
        <v>9780203167885</v>
      </c>
      <c r="E2" t="s">
        <v>15</v>
      </c>
      <c r="F2" s="1">
        <v>33276</v>
      </c>
      <c r="G2" t="s">
        <v>16</v>
      </c>
      <c r="H2">
        <v>1</v>
      </c>
      <c r="J2" t="s">
        <v>17</v>
      </c>
      <c r="K2" t="s">
        <v>18</v>
      </c>
      <c r="L2">
        <v>821.3</v>
      </c>
      <c r="M2" t="s">
        <v>19</v>
      </c>
      <c r="N2" t="s">
        <v>20</v>
      </c>
    </row>
    <row r="3" spans="1:14">
      <c r="A3">
        <v>200868</v>
      </c>
      <c r="B3" t="s">
        <v>21</v>
      </c>
      <c r="C3" t="str">
        <f>"9780824063412"</f>
        <v>9780824063412</v>
      </c>
      <c r="D3" t="str">
        <f>"9780203642276"</f>
        <v>9780203642276</v>
      </c>
      <c r="E3" t="s">
        <v>15</v>
      </c>
      <c r="F3" s="1">
        <v>34700</v>
      </c>
      <c r="G3" t="s">
        <v>16</v>
      </c>
      <c r="H3">
        <v>1</v>
      </c>
      <c r="J3" t="s">
        <v>22</v>
      </c>
      <c r="K3" t="s">
        <v>18</v>
      </c>
      <c r="L3" t="s">
        <v>23</v>
      </c>
      <c r="M3" t="s">
        <v>24</v>
      </c>
      <c r="N3" t="s">
        <v>20</v>
      </c>
    </row>
    <row r="4" spans="1:14">
      <c r="A4">
        <v>214153</v>
      </c>
      <c r="B4" t="s">
        <v>25</v>
      </c>
      <c r="C4" t="str">
        <f>"9780631231936"</f>
        <v>9780631231936</v>
      </c>
      <c r="D4" t="str">
        <f>"9781405128834"</f>
        <v>9781405128834</v>
      </c>
      <c r="E4" t="s">
        <v>26</v>
      </c>
      <c r="F4" s="1">
        <v>38030</v>
      </c>
      <c r="G4" t="s">
        <v>16</v>
      </c>
      <c r="H4">
        <v>1</v>
      </c>
      <c r="I4" t="s">
        <v>27</v>
      </c>
      <c r="J4" t="s">
        <v>28</v>
      </c>
      <c r="K4" t="s">
        <v>29</v>
      </c>
      <c r="L4" t="s">
        <v>30</v>
      </c>
      <c r="M4" t="s">
        <v>31</v>
      </c>
      <c r="N4" t="s">
        <v>20</v>
      </c>
    </row>
    <row r="5" spans="1:14">
      <c r="A5">
        <v>221097</v>
      </c>
      <c r="B5" t="s">
        <v>32</v>
      </c>
      <c r="C5" t="str">
        <f>"9780521783002"</f>
        <v>9780521783002</v>
      </c>
      <c r="D5" t="str">
        <f>"9780511202889"</f>
        <v>9780511202889</v>
      </c>
      <c r="E5" t="s">
        <v>33</v>
      </c>
      <c r="F5" s="1">
        <v>37602</v>
      </c>
      <c r="G5" t="s">
        <v>16</v>
      </c>
      <c r="J5" t="s">
        <v>34</v>
      </c>
      <c r="K5" t="s">
        <v>35</v>
      </c>
      <c r="L5">
        <v>781.43</v>
      </c>
      <c r="M5" t="s">
        <v>36</v>
      </c>
      <c r="N5" t="s">
        <v>20</v>
      </c>
    </row>
    <row r="6" spans="1:14">
      <c r="A6">
        <v>221145</v>
      </c>
      <c r="B6" t="s">
        <v>37</v>
      </c>
      <c r="C6" t="str">
        <f>"9780521813723"</f>
        <v>9780521813723</v>
      </c>
      <c r="D6" t="str">
        <f>"9780511202452"</f>
        <v>9780511202452</v>
      </c>
      <c r="E6" t="s">
        <v>33</v>
      </c>
      <c r="F6" s="1">
        <v>37483</v>
      </c>
      <c r="G6" t="s">
        <v>16</v>
      </c>
      <c r="H6">
        <v>2</v>
      </c>
      <c r="J6" t="s">
        <v>38</v>
      </c>
      <c r="K6" t="s">
        <v>39</v>
      </c>
      <c r="L6">
        <v>515</v>
      </c>
      <c r="M6" t="s">
        <v>40</v>
      </c>
      <c r="N6" t="s">
        <v>20</v>
      </c>
    </row>
    <row r="7" spans="1:14">
      <c r="A7">
        <v>228305</v>
      </c>
      <c r="B7" t="s">
        <v>41</v>
      </c>
      <c r="C7" t="str">
        <f>"9780521812535"</f>
        <v>9780521812535</v>
      </c>
      <c r="D7" t="str">
        <f>"9780511197598"</f>
        <v>9780511197598</v>
      </c>
      <c r="E7" t="s">
        <v>33</v>
      </c>
      <c r="F7" s="1">
        <v>38456</v>
      </c>
      <c r="G7" t="s">
        <v>16</v>
      </c>
      <c r="J7" t="s">
        <v>42</v>
      </c>
      <c r="K7" t="s">
        <v>43</v>
      </c>
      <c r="L7">
        <v>595.70000000000005</v>
      </c>
      <c r="M7" t="s">
        <v>44</v>
      </c>
      <c r="N7" t="s">
        <v>20</v>
      </c>
    </row>
    <row r="8" spans="1:14">
      <c r="A8">
        <v>233005</v>
      </c>
      <c r="B8" t="s">
        <v>45</v>
      </c>
      <c r="C8" t="str">
        <f>"9781405164221"</f>
        <v>9781405164221</v>
      </c>
      <c r="D8" t="str">
        <f>"9781405144667"</f>
        <v>9781405144667</v>
      </c>
      <c r="E8" t="s">
        <v>26</v>
      </c>
      <c r="F8" s="1">
        <v>39504</v>
      </c>
      <c r="G8" t="s">
        <v>16</v>
      </c>
      <c r="H8">
        <v>1</v>
      </c>
      <c r="I8" t="s">
        <v>27</v>
      </c>
      <c r="J8" t="s">
        <v>46</v>
      </c>
      <c r="K8" t="s">
        <v>29</v>
      </c>
      <c r="L8">
        <v>658.3</v>
      </c>
      <c r="M8" t="s">
        <v>47</v>
      </c>
      <c r="N8" t="s">
        <v>20</v>
      </c>
    </row>
    <row r="9" spans="1:14">
      <c r="A9">
        <v>239820</v>
      </c>
      <c r="B9" t="s">
        <v>48</v>
      </c>
      <c r="C9" t="str">
        <f>"9780631235736"</f>
        <v>9780631235736</v>
      </c>
      <c r="D9" t="str">
        <f>"9781405148863"</f>
        <v>9781405148863</v>
      </c>
      <c r="E9" t="s">
        <v>26</v>
      </c>
      <c r="F9" s="1">
        <v>38674</v>
      </c>
      <c r="G9" t="s">
        <v>16</v>
      </c>
      <c r="H9">
        <v>1</v>
      </c>
      <c r="J9" t="s">
        <v>49</v>
      </c>
      <c r="K9" t="s">
        <v>50</v>
      </c>
      <c r="L9">
        <v>930.1</v>
      </c>
      <c r="M9" t="s">
        <v>51</v>
      </c>
      <c r="N9" t="s">
        <v>20</v>
      </c>
    </row>
    <row r="10" spans="1:14">
      <c r="A10">
        <v>244010</v>
      </c>
      <c r="B10" t="s">
        <v>52</v>
      </c>
      <c r="C10" t="str">
        <f>"9780521826327"</f>
        <v>9780521826327</v>
      </c>
      <c r="D10" t="str">
        <f>"9780511201233"</f>
        <v>9780511201233</v>
      </c>
      <c r="E10" t="s">
        <v>33</v>
      </c>
      <c r="F10" s="1">
        <v>38687</v>
      </c>
      <c r="G10" t="s">
        <v>16</v>
      </c>
      <c r="I10" t="s">
        <v>53</v>
      </c>
      <c r="J10" t="s">
        <v>54</v>
      </c>
      <c r="K10" t="s">
        <v>55</v>
      </c>
      <c r="L10">
        <v>305.26</v>
      </c>
      <c r="M10" t="s">
        <v>56</v>
      </c>
      <c r="N10" t="s">
        <v>20</v>
      </c>
    </row>
    <row r="11" spans="1:14">
      <c r="A11">
        <v>244078</v>
      </c>
      <c r="B11" t="s">
        <v>57</v>
      </c>
      <c r="C11" t="str">
        <f>"9780521856591"</f>
        <v>9780521856591</v>
      </c>
      <c r="D11" t="str">
        <f>"9780511201868"</f>
        <v>9780511201868</v>
      </c>
      <c r="E11" t="s">
        <v>33</v>
      </c>
      <c r="F11" s="1">
        <v>38718</v>
      </c>
      <c r="G11" t="s">
        <v>16</v>
      </c>
      <c r="J11" t="s">
        <v>58</v>
      </c>
      <c r="K11" t="s">
        <v>35</v>
      </c>
      <c r="L11">
        <v>780.92</v>
      </c>
      <c r="M11" t="s">
        <v>59</v>
      </c>
      <c r="N11" t="s">
        <v>20</v>
      </c>
    </row>
    <row r="12" spans="1:14">
      <c r="A12">
        <v>254986</v>
      </c>
      <c r="B12" t="s">
        <v>60</v>
      </c>
      <c r="C12" t="str">
        <f>"9780521838429"</f>
        <v>9780521838429</v>
      </c>
      <c r="D12" t="str">
        <f>"9780511145759"</f>
        <v>9780511145759</v>
      </c>
      <c r="E12" t="s">
        <v>33</v>
      </c>
      <c r="F12" s="1">
        <v>38810</v>
      </c>
      <c r="G12" t="s">
        <v>16</v>
      </c>
      <c r="J12" t="s">
        <v>61</v>
      </c>
      <c r="K12" t="s">
        <v>62</v>
      </c>
      <c r="L12">
        <v>153.35</v>
      </c>
      <c r="M12" t="s">
        <v>63</v>
      </c>
      <c r="N12" t="s">
        <v>20</v>
      </c>
    </row>
    <row r="13" spans="1:14">
      <c r="A13">
        <v>256635</v>
      </c>
      <c r="B13" t="s">
        <v>64</v>
      </c>
      <c r="C13" t="str">
        <f>"9780521544153"</f>
        <v>9780521544153</v>
      </c>
      <c r="D13" t="str">
        <f>"9780511187124"</f>
        <v>9780511187124</v>
      </c>
      <c r="E13" t="s">
        <v>33</v>
      </c>
      <c r="F13" s="1">
        <v>38029</v>
      </c>
      <c r="G13" t="s">
        <v>16</v>
      </c>
      <c r="H13">
        <v>3</v>
      </c>
      <c r="J13" t="s">
        <v>65</v>
      </c>
      <c r="K13" t="s">
        <v>66</v>
      </c>
      <c r="L13">
        <v>523.79999999999995</v>
      </c>
      <c r="M13" t="s">
        <v>67</v>
      </c>
      <c r="N13" t="s">
        <v>20</v>
      </c>
    </row>
    <row r="14" spans="1:14">
      <c r="A14">
        <v>256877</v>
      </c>
      <c r="B14" t="s">
        <v>68</v>
      </c>
      <c r="C14" t="str">
        <f>"9780415143448"</f>
        <v>9780415143448</v>
      </c>
      <c r="D14" t="str">
        <f>"9780203996348"</f>
        <v>9780203996348</v>
      </c>
      <c r="E14" t="s">
        <v>15</v>
      </c>
      <c r="F14" s="1">
        <v>37239</v>
      </c>
      <c r="G14" t="s">
        <v>16</v>
      </c>
      <c r="I14" t="s">
        <v>69</v>
      </c>
      <c r="J14" t="s">
        <v>70</v>
      </c>
      <c r="K14" t="s">
        <v>50</v>
      </c>
      <c r="L14" t="s">
        <v>71</v>
      </c>
      <c r="M14" t="s">
        <v>72</v>
      </c>
      <c r="N14" t="s">
        <v>20</v>
      </c>
    </row>
    <row r="15" spans="1:14">
      <c r="A15">
        <v>258492</v>
      </c>
      <c r="B15" t="s">
        <v>73</v>
      </c>
      <c r="C15" t="str">
        <f>"9780521834018"</f>
        <v>9780521834018</v>
      </c>
      <c r="D15" t="str">
        <f>"9780511160103"</f>
        <v>9780511160103</v>
      </c>
      <c r="E15" t="s">
        <v>33</v>
      </c>
      <c r="F15" s="1">
        <v>38523</v>
      </c>
      <c r="G15" t="s">
        <v>16</v>
      </c>
      <c r="J15" t="s">
        <v>74</v>
      </c>
      <c r="K15" t="s">
        <v>75</v>
      </c>
      <c r="L15">
        <v>150.1</v>
      </c>
      <c r="M15" t="s">
        <v>76</v>
      </c>
      <c r="N15" t="s">
        <v>20</v>
      </c>
    </row>
    <row r="16" spans="1:14">
      <c r="A16">
        <v>263119</v>
      </c>
      <c r="B16" t="s">
        <v>77</v>
      </c>
      <c r="C16" t="str">
        <f>"9781584880530"</f>
        <v>9781584880530</v>
      </c>
      <c r="D16" t="str">
        <f>"9781420037760"</f>
        <v>9781420037760</v>
      </c>
      <c r="E16" t="s">
        <v>15</v>
      </c>
      <c r="F16" s="1">
        <v>37558</v>
      </c>
      <c r="G16" t="s">
        <v>16</v>
      </c>
      <c r="H16">
        <v>1</v>
      </c>
      <c r="J16" t="s">
        <v>78</v>
      </c>
      <c r="K16" t="s">
        <v>39</v>
      </c>
      <c r="L16" t="s">
        <v>79</v>
      </c>
      <c r="M16" t="s">
        <v>39</v>
      </c>
      <c r="N16" t="s">
        <v>20</v>
      </c>
    </row>
    <row r="17" spans="1:14">
      <c r="A17">
        <v>269808</v>
      </c>
      <c r="B17" t="s">
        <v>80</v>
      </c>
      <c r="C17" t="str">
        <f>"9780444503404"</f>
        <v>9780444503404</v>
      </c>
      <c r="D17" t="str">
        <f>"9780080462653"</f>
        <v>9780080462653</v>
      </c>
      <c r="E17" t="s">
        <v>81</v>
      </c>
      <c r="F17" s="1">
        <v>38687</v>
      </c>
      <c r="G17" t="s">
        <v>16</v>
      </c>
      <c r="H17">
        <v>1</v>
      </c>
      <c r="I17">
        <v>0</v>
      </c>
      <c r="J17" t="s">
        <v>82</v>
      </c>
      <c r="K17" t="s">
        <v>35</v>
      </c>
      <c r="L17">
        <v>709</v>
      </c>
      <c r="M17" t="s">
        <v>83</v>
      </c>
      <c r="N17" t="s">
        <v>20</v>
      </c>
    </row>
    <row r="18" spans="1:14">
      <c r="A18">
        <v>274870</v>
      </c>
      <c r="B18" t="s">
        <v>84</v>
      </c>
      <c r="C18" t="str">
        <f>"9780521860390"</f>
        <v>9780521860390</v>
      </c>
      <c r="D18" t="str">
        <f>"9780511244735"</f>
        <v>9780511244735</v>
      </c>
      <c r="E18" t="s">
        <v>33</v>
      </c>
      <c r="F18" s="1">
        <v>38946</v>
      </c>
      <c r="G18" t="s">
        <v>16</v>
      </c>
      <c r="H18">
        <v>3</v>
      </c>
      <c r="J18" t="s">
        <v>85</v>
      </c>
      <c r="K18" t="s">
        <v>39</v>
      </c>
      <c r="L18">
        <v>519.50300000000004</v>
      </c>
      <c r="M18" t="s">
        <v>86</v>
      </c>
      <c r="N18" t="s">
        <v>20</v>
      </c>
    </row>
    <row r="19" spans="1:14">
      <c r="A19">
        <v>284088</v>
      </c>
      <c r="B19" t="s">
        <v>87</v>
      </c>
      <c r="C19" t="str">
        <f>"9781405132787"</f>
        <v>9781405132787</v>
      </c>
      <c r="D19" t="str">
        <f>"9780470997314"</f>
        <v>9780470997314</v>
      </c>
      <c r="E19" t="s">
        <v>26</v>
      </c>
      <c r="F19" s="1">
        <v>38457</v>
      </c>
      <c r="G19" t="s">
        <v>16</v>
      </c>
      <c r="H19">
        <v>1</v>
      </c>
      <c r="I19" t="s">
        <v>88</v>
      </c>
      <c r="J19" t="s">
        <v>89</v>
      </c>
      <c r="K19" t="s">
        <v>50</v>
      </c>
      <c r="L19">
        <v>938.07</v>
      </c>
      <c r="M19" t="s">
        <v>90</v>
      </c>
      <c r="N19" t="s">
        <v>20</v>
      </c>
    </row>
    <row r="20" spans="1:14">
      <c r="A20">
        <v>284117</v>
      </c>
      <c r="B20" t="s">
        <v>91</v>
      </c>
      <c r="C20" t="str">
        <f>"9781405117715"</f>
        <v>9781405117715</v>
      </c>
      <c r="D20" t="str">
        <f>"9781405171632"</f>
        <v>9781405171632</v>
      </c>
      <c r="E20" t="s">
        <v>26</v>
      </c>
      <c r="F20" s="1">
        <v>39118</v>
      </c>
      <c r="G20" t="s">
        <v>16</v>
      </c>
      <c r="H20">
        <v>1</v>
      </c>
      <c r="I20" t="s">
        <v>92</v>
      </c>
      <c r="J20" t="s">
        <v>93</v>
      </c>
      <c r="K20" t="s">
        <v>94</v>
      </c>
      <c r="L20">
        <v>248.09</v>
      </c>
      <c r="M20" t="s">
        <v>95</v>
      </c>
      <c r="N20" t="s">
        <v>20</v>
      </c>
    </row>
    <row r="21" spans="1:14">
      <c r="A21">
        <v>284206</v>
      </c>
      <c r="B21" t="s">
        <v>96</v>
      </c>
      <c r="C21" t="str">
        <f>"9781405107945"</f>
        <v>9781405107945</v>
      </c>
      <c r="D21" t="str">
        <f>"9781405152358"</f>
        <v>9781405152358</v>
      </c>
      <c r="E21" t="s">
        <v>26</v>
      </c>
      <c r="F21" s="1">
        <v>38810</v>
      </c>
      <c r="G21" t="s">
        <v>16</v>
      </c>
      <c r="H21">
        <v>1</v>
      </c>
      <c r="I21" t="s">
        <v>97</v>
      </c>
      <c r="J21" t="s">
        <v>98</v>
      </c>
      <c r="K21" t="s">
        <v>35</v>
      </c>
      <c r="L21" t="s">
        <v>99</v>
      </c>
      <c r="M21" t="s">
        <v>100</v>
      </c>
      <c r="N21" t="s">
        <v>20</v>
      </c>
    </row>
    <row r="22" spans="1:14">
      <c r="A22">
        <v>288613</v>
      </c>
      <c r="B22" t="s">
        <v>101</v>
      </c>
      <c r="C22" t="str">
        <f>"9780521852494"</f>
        <v>9780521852494</v>
      </c>
      <c r="D22" t="str">
        <f>"9780511272981"</f>
        <v>9780511272981</v>
      </c>
      <c r="E22" t="s">
        <v>33</v>
      </c>
      <c r="F22" s="1">
        <v>39135</v>
      </c>
      <c r="G22" t="s">
        <v>16</v>
      </c>
      <c r="H22">
        <v>2</v>
      </c>
      <c r="J22" t="s">
        <v>102</v>
      </c>
      <c r="K22" t="s">
        <v>103</v>
      </c>
      <c r="L22">
        <v>539.72</v>
      </c>
      <c r="M22" t="s">
        <v>104</v>
      </c>
      <c r="N22" t="s">
        <v>20</v>
      </c>
    </row>
    <row r="23" spans="1:14">
      <c r="A23">
        <v>288664</v>
      </c>
      <c r="B23" t="s">
        <v>105</v>
      </c>
      <c r="C23" t="str">
        <f>"9780521856706"</f>
        <v>9780521856706</v>
      </c>
      <c r="D23" t="str">
        <f>"9780511273124"</f>
        <v>9780511273124</v>
      </c>
      <c r="E23" t="s">
        <v>33</v>
      </c>
      <c r="F23" s="1">
        <v>39142</v>
      </c>
      <c r="G23" t="s">
        <v>16</v>
      </c>
      <c r="I23" t="s">
        <v>106</v>
      </c>
      <c r="J23" t="s">
        <v>107</v>
      </c>
      <c r="K23" t="s">
        <v>18</v>
      </c>
      <c r="L23">
        <v>811.4</v>
      </c>
      <c r="M23" t="s">
        <v>108</v>
      </c>
      <c r="N23" t="s">
        <v>20</v>
      </c>
    </row>
    <row r="24" spans="1:14">
      <c r="A24">
        <v>288665</v>
      </c>
      <c r="B24" t="s">
        <v>109</v>
      </c>
      <c r="C24" t="str">
        <f>"9780521853910"</f>
        <v>9780521853910</v>
      </c>
      <c r="D24" t="str">
        <f>"9780511273018"</f>
        <v>9780511273018</v>
      </c>
      <c r="E24" t="s">
        <v>33</v>
      </c>
      <c r="F24" s="1">
        <v>39177</v>
      </c>
      <c r="G24" t="s">
        <v>16</v>
      </c>
      <c r="I24" t="s">
        <v>106</v>
      </c>
      <c r="J24" t="s">
        <v>110</v>
      </c>
      <c r="K24" t="s">
        <v>18</v>
      </c>
      <c r="L24">
        <v>811.52</v>
      </c>
      <c r="M24" t="s">
        <v>111</v>
      </c>
      <c r="N24" t="s">
        <v>20</v>
      </c>
    </row>
    <row r="25" spans="1:14">
      <c r="A25">
        <v>288666</v>
      </c>
      <c r="B25" t="s">
        <v>112</v>
      </c>
      <c r="C25" t="str">
        <f>"9780521859097"</f>
        <v>9780521859097</v>
      </c>
      <c r="D25" t="str">
        <f>"9780511273148"</f>
        <v>9780511273148</v>
      </c>
      <c r="E25" t="s">
        <v>33</v>
      </c>
      <c r="F25" s="1">
        <v>39142</v>
      </c>
      <c r="G25" t="s">
        <v>16</v>
      </c>
      <c r="I25" t="s">
        <v>106</v>
      </c>
      <c r="J25" t="s">
        <v>113</v>
      </c>
      <c r="K25" t="s">
        <v>18</v>
      </c>
      <c r="L25">
        <v>813.52</v>
      </c>
      <c r="M25" t="s">
        <v>114</v>
      </c>
      <c r="N25" t="s">
        <v>20</v>
      </c>
    </row>
    <row r="26" spans="1:14">
      <c r="A26">
        <v>288667</v>
      </c>
      <c r="B26" t="s">
        <v>115</v>
      </c>
      <c r="C26" t="str">
        <f>"9780521855440"</f>
        <v>9780521855440</v>
      </c>
      <c r="D26" t="str">
        <f>"9780511273094"</f>
        <v>9780511273094</v>
      </c>
      <c r="E26" t="s">
        <v>33</v>
      </c>
      <c r="F26" s="1">
        <v>39142</v>
      </c>
      <c r="G26" t="s">
        <v>16</v>
      </c>
      <c r="I26" t="s">
        <v>106</v>
      </c>
      <c r="J26" t="s">
        <v>116</v>
      </c>
      <c r="K26" t="s">
        <v>18</v>
      </c>
      <c r="L26">
        <v>813.3</v>
      </c>
      <c r="M26" t="s">
        <v>117</v>
      </c>
      <c r="N26" t="s">
        <v>20</v>
      </c>
    </row>
    <row r="27" spans="1:14">
      <c r="A27">
        <v>288668</v>
      </c>
      <c r="B27" t="s">
        <v>118</v>
      </c>
      <c r="C27" t="str">
        <f>"9780521854801"</f>
        <v>9780521854801</v>
      </c>
      <c r="D27" t="str">
        <f>"9780511273063"</f>
        <v>9780511273063</v>
      </c>
      <c r="E27" t="s">
        <v>33</v>
      </c>
      <c r="F27" s="1">
        <v>39142</v>
      </c>
      <c r="G27" t="s">
        <v>16</v>
      </c>
      <c r="I27" t="s">
        <v>106</v>
      </c>
      <c r="J27" t="s">
        <v>119</v>
      </c>
      <c r="K27" t="s">
        <v>18</v>
      </c>
      <c r="L27">
        <v>813.3</v>
      </c>
      <c r="M27" t="s">
        <v>120</v>
      </c>
      <c r="N27" t="s">
        <v>20</v>
      </c>
    </row>
    <row r="28" spans="1:14">
      <c r="A28">
        <v>288669</v>
      </c>
      <c r="B28" t="s">
        <v>121</v>
      </c>
      <c r="C28" t="str">
        <f>"9780521854450"</f>
        <v>9780521854450</v>
      </c>
      <c r="D28" t="str">
        <f>"9780511273025"</f>
        <v>9780511273025</v>
      </c>
      <c r="E28" t="s">
        <v>33</v>
      </c>
      <c r="F28" s="1">
        <v>39142</v>
      </c>
      <c r="G28" t="s">
        <v>16</v>
      </c>
      <c r="I28" t="s">
        <v>106</v>
      </c>
      <c r="J28" t="s">
        <v>122</v>
      </c>
      <c r="K28" t="s">
        <v>18</v>
      </c>
      <c r="L28">
        <v>813.4</v>
      </c>
      <c r="M28" t="s">
        <v>123</v>
      </c>
      <c r="N28" t="s">
        <v>20</v>
      </c>
    </row>
    <row r="29" spans="1:14">
      <c r="A29">
        <v>288670</v>
      </c>
      <c r="B29" t="s">
        <v>124</v>
      </c>
      <c r="C29" t="str">
        <f>"9780521854580"</f>
        <v>9780521854580</v>
      </c>
      <c r="D29" t="str">
        <f>"9780511273049"</f>
        <v>9780511273049</v>
      </c>
      <c r="E29" t="s">
        <v>33</v>
      </c>
      <c r="F29" s="1">
        <v>39142</v>
      </c>
      <c r="G29" t="s">
        <v>16</v>
      </c>
      <c r="I29" t="s">
        <v>106</v>
      </c>
      <c r="J29" t="s">
        <v>125</v>
      </c>
      <c r="K29" t="s">
        <v>18</v>
      </c>
      <c r="L29">
        <v>813.3</v>
      </c>
      <c r="M29" t="s">
        <v>126</v>
      </c>
      <c r="N29" t="s">
        <v>20</v>
      </c>
    </row>
    <row r="30" spans="1:14">
      <c r="A30">
        <v>288671</v>
      </c>
      <c r="B30" t="s">
        <v>127</v>
      </c>
      <c r="C30" t="str">
        <f>"9780521855990"</f>
        <v>9780521855990</v>
      </c>
      <c r="D30" t="str">
        <f>"9780511273117"</f>
        <v>9780511273117</v>
      </c>
      <c r="E30" t="s">
        <v>33</v>
      </c>
      <c r="F30" s="1">
        <v>39149</v>
      </c>
      <c r="G30" t="s">
        <v>16</v>
      </c>
      <c r="I30" t="s">
        <v>106</v>
      </c>
      <c r="J30" t="s">
        <v>128</v>
      </c>
      <c r="K30" t="s">
        <v>18</v>
      </c>
      <c r="L30">
        <v>822.33</v>
      </c>
      <c r="M30" t="s">
        <v>129</v>
      </c>
      <c r="N30" t="s">
        <v>20</v>
      </c>
    </row>
    <row r="31" spans="1:14">
      <c r="A31">
        <v>288672</v>
      </c>
      <c r="B31" t="s">
        <v>130</v>
      </c>
      <c r="C31" t="str">
        <f>"9780521858175"</f>
        <v>9780521858175</v>
      </c>
      <c r="D31" t="str">
        <f>"9780511273131"</f>
        <v>9780511273131</v>
      </c>
      <c r="E31" t="s">
        <v>33</v>
      </c>
      <c r="F31" s="1">
        <v>39149</v>
      </c>
      <c r="G31" t="s">
        <v>16</v>
      </c>
      <c r="I31" t="s">
        <v>106</v>
      </c>
      <c r="J31" t="s">
        <v>131</v>
      </c>
      <c r="K31" t="s">
        <v>18</v>
      </c>
      <c r="L31">
        <v>822.33</v>
      </c>
      <c r="M31" t="s">
        <v>132</v>
      </c>
      <c r="N31" t="s">
        <v>20</v>
      </c>
    </row>
    <row r="32" spans="1:14">
      <c r="A32">
        <v>288673</v>
      </c>
      <c r="B32" t="s">
        <v>133</v>
      </c>
      <c r="C32" t="str">
        <f>"9780521854566"</f>
        <v>9780521854566</v>
      </c>
      <c r="D32" t="str">
        <f>"9780511273032"</f>
        <v>9780511273032</v>
      </c>
      <c r="E32" t="s">
        <v>33</v>
      </c>
      <c r="F32" s="1">
        <v>39149</v>
      </c>
      <c r="G32" t="s">
        <v>16</v>
      </c>
      <c r="I32" t="s">
        <v>106</v>
      </c>
      <c r="J32" t="s">
        <v>134</v>
      </c>
      <c r="K32" t="s">
        <v>18</v>
      </c>
      <c r="L32">
        <v>811.3</v>
      </c>
      <c r="M32" t="s">
        <v>135</v>
      </c>
      <c r="N32" t="s">
        <v>20</v>
      </c>
    </row>
    <row r="33" spans="1:14">
      <c r="A33">
        <v>293094</v>
      </c>
      <c r="B33" t="s">
        <v>136</v>
      </c>
      <c r="C33" t="str">
        <f>"9781405141796"</f>
        <v>9781405141796</v>
      </c>
      <c r="D33" t="str">
        <f>"9781405178600"</f>
        <v>9781405178600</v>
      </c>
      <c r="E33" t="s">
        <v>26</v>
      </c>
      <c r="F33" s="1">
        <v>38957</v>
      </c>
      <c r="G33" t="s">
        <v>16</v>
      </c>
      <c r="H33">
        <v>2</v>
      </c>
      <c r="J33" t="s">
        <v>137</v>
      </c>
      <c r="K33" t="s">
        <v>138</v>
      </c>
      <c r="L33">
        <v>190</v>
      </c>
      <c r="M33" t="s">
        <v>139</v>
      </c>
      <c r="N33" t="s">
        <v>20</v>
      </c>
    </row>
    <row r="34" spans="1:14">
      <c r="A34">
        <v>293114</v>
      </c>
      <c r="B34" t="s">
        <v>140</v>
      </c>
      <c r="C34" t="str">
        <f>"9781405188340"</f>
        <v>9781405188340</v>
      </c>
      <c r="D34" t="str">
        <f>"9781405178259"</f>
        <v>9781405178259</v>
      </c>
      <c r="E34" t="s">
        <v>26</v>
      </c>
      <c r="F34" s="1">
        <v>38898</v>
      </c>
      <c r="G34" t="s">
        <v>16</v>
      </c>
      <c r="H34">
        <v>1</v>
      </c>
      <c r="I34" t="s">
        <v>141</v>
      </c>
      <c r="J34" t="s">
        <v>142</v>
      </c>
      <c r="K34" t="s">
        <v>138</v>
      </c>
      <c r="L34">
        <v>180</v>
      </c>
      <c r="M34" t="s">
        <v>143</v>
      </c>
      <c r="N34" t="s">
        <v>20</v>
      </c>
    </row>
    <row r="35" spans="1:14">
      <c r="A35">
        <v>293711</v>
      </c>
      <c r="B35" t="s">
        <v>144</v>
      </c>
      <c r="C35" t="str">
        <f>"9781403902788"</f>
        <v>9781403902788</v>
      </c>
      <c r="D35" t="str">
        <f>"9780230625181"</f>
        <v>9780230625181</v>
      </c>
      <c r="E35" t="s">
        <v>145</v>
      </c>
      <c r="F35" s="1">
        <v>38888</v>
      </c>
      <c r="G35" t="s">
        <v>16</v>
      </c>
      <c r="J35" t="s">
        <v>146</v>
      </c>
      <c r="K35" t="s">
        <v>147</v>
      </c>
      <c r="L35">
        <v>338.88</v>
      </c>
      <c r="M35" t="s">
        <v>148</v>
      </c>
      <c r="N35" t="s">
        <v>20</v>
      </c>
    </row>
    <row r="36" spans="1:14">
      <c r="A36">
        <v>295703</v>
      </c>
      <c r="B36" t="s">
        <v>149</v>
      </c>
      <c r="C36" t="str">
        <f>"9780521826372"</f>
        <v>9780521826372</v>
      </c>
      <c r="D36" t="str">
        <f>"9780511283826"</f>
        <v>9780511283826</v>
      </c>
      <c r="E36" t="s">
        <v>33</v>
      </c>
      <c r="F36" s="1">
        <v>39226</v>
      </c>
      <c r="G36" t="s">
        <v>16</v>
      </c>
      <c r="J36" t="s">
        <v>150</v>
      </c>
      <c r="K36" t="s">
        <v>151</v>
      </c>
      <c r="L36">
        <v>616.89</v>
      </c>
      <c r="M36" t="s">
        <v>152</v>
      </c>
      <c r="N36" t="s">
        <v>20</v>
      </c>
    </row>
    <row r="37" spans="1:14">
      <c r="A37">
        <v>311221</v>
      </c>
      <c r="B37" t="s">
        <v>153</v>
      </c>
      <c r="C37" t="str">
        <f>"9780521879972"</f>
        <v>9780521879972</v>
      </c>
      <c r="D37" t="str">
        <f>"9780511288517"</f>
        <v>9780511288517</v>
      </c>
      <c r="E37" t="s">
        <v>33</v>
      </c>
      <c r="F37" s="1">
        <v>39295</v>
      </c>
      <c r="G37" t="s">
        <v>16</v>
      </c>
      <c r="H37">
        <v>2</v>
      </c>
      <c r="J37" t="s">
        <v>154</v>
      </c>
      <c r="K37" t="s">
        <v>155</v>
      </c>
      <c r="L37">
        <v>616.00189999999998</v>
      </c>
      <c r="M37" t="s">
        <v>156</v>
      </c>
      <c r="N37" t="s">
        <v>20</v>
      </c>
    </row>
    <row r="38" spans="1:14">
      <c r="A38">
        <v>311243</v>
      </c>
      <c r="B38" t="s">
        <v>157</v>
      </c>
      <c r="C38" t="str">
        <f>"9780521857437"</f>
        <v>9780521857437</v>
      </c>
      <c r="D38" t="str">
        <f>"9780511288555"</f>
        <v>9780511288555</v>
      </c>
      <c r="E38" t="s">
        <v>33</v>
      </c>
      <c r="F38" s="1">
        <v>39203</v>
      </c>
      <c r="G38" t="s">
        <v>16</v>
      </c>
      <c r="I38" t="s">
        <v>53</v>
      </c>
      <c r="J38" t="s">
        <v>158</v>
      </c>
      <c r="K38" t="s">
        <v>75</v>
      </c>
      <c r="L38">
        <v>153</v>
      </c>
      <c r="M38" t="s">
        <v>159</v>
      </c>
      <c r="N38" t="s">
        <v>20</v>
      </c>
    </row>
    <row r="39" spans="1:14">
      <c r="A39">
        <v>311272</v>
      </c>
      <c r="B39" t="s">
        <v>160</v>
      </c>
      <c r="C39" t="str">
        <f>"9780521874076"</f>
        <v>9780521874076</v>
      </c>
      <c r="D39" t="str">
        <f>"9780511288661"</f>
        <v>9780511288661</v>
      </c>
      <c r="E39" t="s">
        <v>33</v>
      </c>
      <c r="F39" s="1">
        <v>39268</v>
      </c>
      <c r="G39" t="s">
        <v>16</v>
      </c>
      <c r="H39">
        <v>2</v>
      </c>
      <c r="J39" t="s">
        <v>161</v>
      </c>
      <c r="K39" t="s">
        <v>162</v>
      </c>
      <c r="L39">
        <v>523.29999999999995</v>
      </c>
      <c r="M39" t="s">
        <v>163</v>
      </c>
      <c r="N39" t="s">
        <v>20</v>
      </c>
    </row>
    <row r="40" spans="1:14">
      <c r="A40">
        <v>320054</v>
      </c>
      <c r="B40" t="s">
        <v>164</v>
      </c>
      <c r="C40" t="str">
        <f>"9781444345445"</f>
        <v>9781444345445</v>
      </c>
      <c r="D40" t="str">
        <f>"9780470766071"</f>
        <v>9780470766071</v>
      </c>
      <c r="E40" t="s">
        <v>26</v>
      </c>
      <c r="F40" s="1">
        <v>39398</v>
      </c>
      <c r="G40" t="s">
        <v>16</v>
      </c>
      <c r="H40">
        <v>2</v>
      </c>
      <c r="I40" t="s">
        <v>141</v>
      </c>
      <c r="J40" t="s">
        <v>165</v>
      </c>
      <c r="K40" t="s">
        <v>166</v>
      </c>
      <c r="L40">
        <v>320.01</v>
      </c>
      <c r="M40" t="s">
        <v>167</v>
      </c>
      <c r="N40" t="s">
        <v>20</v>
      </c>
    </row>
    <row r="41" spans="1:14">
      <c r="A41">
        <v>320058</v>
      </c>
      <c r="B41" t="s">
        <v>168</v>
      </c>
      <c r="C41" t="str">
        <f>"9781405126229"</f>
        <v>9781405126229</v>
      </c>
      <c r="D41" t="str">
        <f>"9780470766026"</f>
        <v>9780470766026</v>
      </c>
      <c r="E41" t="s">
        <v>26</v>
      </c>
      <c r="F41" s="1">
        <v>39377</v>
      </c>
      <c r="G41" t="s">
        <v>16</v>
      </c>
      <c r="H41">
        <v>1</v>
      </c>
      <c r="I41" t="s">
        <v>169</v>
      </c>
      <c r="J41" t="s">
        <v>170</v>
      </c>
      <c r="K41" t="s">
        <v>171</v>
      </c>
      <c r="L41">
        <v>305.86807299999998</v>
      </c>
      <c r="M41" t="s">
        <v>172</v>
      </c>
      <c r="N41" t="s">
        <v>20</v>
      </c>
    </row>
    <row r="42" spans="1:14">
      <c r="A42">
        <v>321093</v>
      </c>
      <c r="B42" t="s">
        <v>173</v>
      </c>
      <c r="C42" t="str">
        <f>"9780521838566"</f>
        <v>9780521838566</v>
      </c>
      <c r="D42" t="str">
        <f>"9780511347801"</f>
        <v>9780511347801</v>
      </c>
      <c r="E42" t="s">
        <v>33</v>
      </c>
      <c r="F42" s="1">
        <v>39083</v>
      </c>
      <c r="G42" t="s">
        <v>16</v>
      </c>
      <c r="I42" t="s">
        <v>106</v>
      </c>
      <c r="J42" t="s">
        <v>174</v>
      </c>
      <c r="K42" t="s">
        <v>18</v>
      </c>
      <c r="L42">
        <v>828.91209000000003</v>
      </c>
      <c r="M42" t="s">
        <v>175</v>
      </c>
      <c r="N42" t="s">
        <v>20</v>
      </c>
    </row>
    <row r="43" spans="1:14">
      <c r="A43">
        <v>321206</v>
      </c>
      <c r="B43" t="s">
        <v>176</v>
      </c>
      <c r="C43" t="str">
        <f>"9780521618137"</f>
        <v>9780521618137</v>
      </c>
      <c r="D43" t="str">
        <f>"9780511344329"</f>
        <v>9780511344329</v>
      </c>
      <c r="E43" t="s">
        <v>33</v>
      </c>
      <c r="F43" s="1">
        <v>38657</v>
      </c>
      <c r="G43" t="s">
        <v>16</v>
      </c>
      <c r="J43" t="s">
        <v>177</v>
      </c>
      <c r="K43" t="s">
        <v>155</v>
      </c>
      <c r="L43">
        <v>616.5</v>
      </c>
      <c r="M43" t="s">
        <v>178</v>
      </c>
      <c r="N43" t="s">
        <v>20</v>
      </c>
    </row>
    <row r="44" spans="1:14">
      <c r="A44">
        <v>321303</v>
      </c>
      <c r="B44" t="s">
        <v>179</v>
      </c>
      <c r="C44" t="str">
        <f>"9780521688697"</f>
        <v>9780521688697</v>
      </c>
      <c r="D44" t="str">
        <f>"9780511354304"</f>
        <v>9780511354304</v>
      </c>
      <c r="E44" t="s">
        <v>33</v>
      </c>
      <c r="F44" s="1">
        <v>39377</v>
      </c>
      <c r="G44" t="s">
        <v>16</v>
      </c>
      <c r="J44" t="s">
        <v>180</v>
      </c>
      <c r="K44" t="s">
        <v>155</v>
      </c>
      <c r="L44" t="s">
        <v>181</v>
      </c>
      <c r="M44" t="s">
        <v>182</v>
      </c>
      <c r="N44" t="s">
        <v>20</v>
      </c>
    </row>
    <row r="45" spans="1:14">
      <c r="A45">
        <v>321438</v>
      </c>
      <c r="B45" t="s">
        <v>183</v>
      </c>
      <c r="C45" t="str">
        <f>"9780521845618"</f>
        <v>9780521845618</v>
      </c>
      <c r="D45" t="str">
        <f>"9780511365584"</f>
        <v>9780511365584</v>
      </c>
      <c r="E45" t="s">
        <v>33</v>
      </c>
      <c r="F45" s="1">
        <v>39380</v>
      </c>
      <c r="G45" t="s">
        <v>16</v>
      </c>
      <c r="J45" t="s">
        <v>184</v>
      </c>
      <c r="K45" t="s">
        <v>55</v>
      </c>
      <c r="L45">
        <v>300.72000000000003</v>
      </c>
      <c r="M45" t="s">
        <v>185</v>
      </c>
      <c r="N45" t="s">
        <v>20</v>
      </c>
    </row>
    <row r="46" spans="1:14">
      <c r="A46">
        <v>328888</v>
      </c>
      <c r="B46" t="s">
        <v>186</v>
      </c>
      <c r="C46" t="str">
        <f>"9780521849715"</f>
        <v>9780521849715</v>
      </c>
      <c r="D46" t="str">
        <f>"9780511375781"</f>
        <v>9780511375781</v>
      </c>
      <c r="E46" t="s">
        <v>33</v>
      </c>
      <c r="F46" s="1">
        <v>39380</v>
      </c>
      <c r="G46" t="s">
        <v>16</v>
      </c>
      <c r="I46" t="s">
        <v>106</v>
      </c>
      <c r="J46" t="s">
        <v>187</v>
      </c>
      <c r="K46" t="s">
        <v>18</v>
      </c>
      <c r="L46">
        <v>840.9</v>
      </c>
      <c r="M46" t="s">
        <v>188</v>
      </c>
      <c r="N46" t="s">
        <v>20</v>
      </c>
    </row>
    <row r="47" spans="1:14">
      <c r="A47">
        <v>328891</v>
      </c>
      <c r="B47" t="s">
        <v>189</v>
      </c>
      <c r="C47" t="str">
        <f>"9780521709675"</f>
        <v>9780521709675</v>
      </c>
      <c r="D47" t="str">
        <f>"9780511375941"</f>
        <v>9780511375941</v>
      </c>
      <c r="E47" t="s">
        <v>33</v>
      </c>
      <c r="F47" s="1">
        <v>39417</v>
      </c>
      <c r="G47" t="s">
        <v>16</v>
      </c>
      <c r="H47">
        <v>18</v>
      </c>
      <c r="J47" t="s">
        <v>190</v>
      </c>
      <c r="K47" t="s">
        <v>155</v>
      </c>
      <c r="L47">
        <v>610.69000000000005</v>
      </c>
      <c r="M47" t="s">
        <v>191</v>
      </c>
      <c r="N47" t="s">
        <v>20</v>
      </c>
    </row>
    <row r="48" spans="1:14">
      <c r="A48">
        <v>334565</v>
      </c>
      <c r="B48" t="s">
        <v>192</v>
      </c>
      <c r="C48" t="str">
        <f>"9780761971337"</f>
        <v>9780761971337</v>
      </c>
      <c r="D48" t="str">
        <f>"9781847871480"</f>
        <v>9781847871480</v>
      </c>
      <c r="E48" t="s">
        <v>193</v>
      </c>
      <c r="F48" s="1">
        <v>37733</v>
      </c>
      <c r="G48" t="s">
        <v>16</v>
      </c>
      <c r="H48">
        <v>1</v>
      </c>
      <c r="J48" t="s">
        <v>194</v>
      </c>
      <c r="K48" t="s">
        <v>55</v>
      </c>
      <c r="L48">
        <v>300.72000000000003</v>
      </c>
      <c r="M48" t="s">
        <v>195</v>
      </c>
      <c r="N48" t="s">
        <v>20</v>
      </c>
    </row>
    <row r="49" spans="1:14">
      <c r="A49">
        <v>334587</v>
      </c>
      <c r="B49" t="s">
        <v>196</v>
      </c>
      <c r="C49" t="str">
        <f>"9780761974819"</f>
        <v>9780761974819</v>
      </c>
      <c r="D49" t="str">
        <f>"9781847877321"</f>
        <v>9781847877321</v>
      </c>
      <c r="E49" t="s">
        <v>193</v>
      </c>
      <c r="F49" s="1">
        <v>38722</v>
      </c>
      <c r="G49" t="s">
        <v>16</v>
      </c>
      <c r="H49">
        <v>1</v>
      </c>
      <c r="J49" t="s">
        <v>197</v>
      </c>
      <c r="K49" t="s">
        <v>55</v>
      </c>
      <c r="L49">
        <v>301.02999999999997</v>
      </c>
      <c r="M49" t="s">
        <v>198</v>
      </c>
      <c r="N49" t="s">
        <v>20</v>
      </c>
    </row>
    <row r="50" spans="1:14">
      <c r="A50">
        <v>334990</v>
      </c>
      <c r="B50" t="s">
        <v>199</v>
      </c>
      <c r="C50" t="str">
        <f>"9780521683357"</f>
        <v>9780521683357</v>
      </c>
      <c r="D50" t="str">
        <f>"9780511384004"</f>
        <v>9780511384004</v>
      </c>
      <c r="E50" t="s">
        <v>33</v>
      </c>
      <c r="F50" s="1">
        <v>39517</v>
      </c>
      <c r="G50" t="s">
        <v>16</v>
      </c>
      <c r="J50" t="s">
        <v>200</v>
      </c>
      <c r="K50" t="s">
        <v>155</v>
      </c>
      <c r="L50">
        <v>616.50067999999999</v>
      </c>
      <c r="M50" t="s">
        <v>201</v>
      </c>
      <c r="N50" t="s">
        <v>20</v>
      </c>
    </row>
    <row r="51" spans="1:14">
      <c r="A51">
        <v>335096</v>
      </c>
      <c r="B51" t="s">
        <v>202</v>
      </c>
      <c r="C51" t="str">
        <f>"9780521710213"</f>
        <v>9780521710213</v>
      </c>
      <c r="D51" t="str">
        <f>"9780511384769"</f>
        <v>9780511384769</v>
      </c>
      <c r="E51" t="s">
        <v>33</v>
      </c>
      <c r="F51" s="1">
        <v>39508</v>
      </c>
      <c r="G51" t="s">
        <v>16</v>
      </c>
      <c r="H51">
        <v>2</v>
      </c>
      <c r="J51" t="s">
        <v>203</v>
      </c>
      <c r="K51" t="s">
        <v>155</v>
      </c>
      <c r="L51">
        <v>617.91</v>
      </c>
      <c r="M51" t="s">
        <v>204</v>
      </c>
      <c r="N51" t="s">
        <v>20</v>
      </c>
    </row>
    <row r="52" spans="1:14">
      <c r="A52">
        <v>336080</v>
      </c>
      <c r="B52" t="s">
        <v>205</v>
      </c>
      <c r="C52" t="str">
        <f>"9780521846738"</f>
        <v>9780521846738</v>
      </c>
      <c r="D52" t="str">
        <f>"9780511392283"</f>
        <v>9780511392283</v>
      </c>
      <c r="E52" t="s">
        <v>33</v>
      </c>
      <c r="F52" s="1">
        <v>39539</v>
      </c>
      <c r="G52" t="s">
        <v>16</v>
      </c>
      <c r="I52" t="s">
        <v>106</v>
      </c>
      <c r="J52" t="s">
        <v>206</v>
      </c>
      <c r="K52" t="s">
        <v>18</v>
      </c>
      <c r="L52">
        <v>821.00994149999997</v>
      </c>
      <c r="M52" t="s">
        <v>207</v>
      </c>
      <c r="N52" t="s">
        <v>20</v>
      </c>
    </row>
    <row r="53" spans="1:14">
      <c r="A53">
        <v>336085</v>
      </c>
      <c r="B53" t="s">
        <v>208</v>
      </c>
      <c r="C53" t="str">
        <f>"9780521854627"</f>
        <v>9780521854627</v>
      </c>
      <c r="D53" t="str">
        <f>"9780511392313"</f>
        <v>9780511392313</v>
      </c>
      <c r="E53" t="s">
        <v>33</v>
      </c>
      <c r="F53" s="1">
        <v>39539</v>
      </c>
      <c r="G53" t="s">
        <v>16</v>
      </c>
      <c r="I53" t="s">
        <v>106</v>
      </c>
      <c r="J53" t="s">
        <v>209</v>
      </c>
      <c r="K53" t="s">
        <v>18</v>
      </c>
      <c r="L53">
        <v>823.8</v>
      </c>
      <c r="M53" t="s">
        <v>210</v>
      </c>
      <c r="N53" t="s">
        <v>20</v>
      </c>
    </row>
    <row r="54" spans="1:14">
      <c r="A54">
        <v>336086</v>
      </c>
      <c r="B54" t="s">
        <v>211</v>
      </c>
      <c r="C54" t="str">
        <f>"9780521855464"</f>
        <v>9780521855464</v>
      </c>
      <c r="D54" t="str">
        <f>"9780511392320"</f>
        <v>9780511392320</v>
      </c>
      <c r="E54" t="s">
        <v>33</v>
      </c>
      <c r="F54" s="1">
        <v>39539</v>
      </c>
      <c r="G54" t="s">
        <v>16</v>
      </c>
      <c r="I54" t="s">
        <v>106</v>
      </c>
      <c r="J54" t="s">
        <v>212</v>
      </c>
      <c r="K54" t="s">
        <v>18</v>
      </c>
      <c r="L54">
        <v>813.52</v>
      </c>
      <c r="M54" t="s">
        <v>213</v>
      </c>
      <c r="N54" t="s">
        <v>20</v>
      </c>
    </row>
    <row r="55" spans="1:14">
      <c r="A55">
        <v>336089</v>
      </c>
      <c r="B55" t="s">
        <v>214</v>
      </c>
      <c r="C55" t="str">
        <f>"9780521856683"</f>
        <v>9780521856683</v>
      </c>
      <c r="D55" t="str">
        <f>"9780511392160"</f>
        <v>9780511392160</v>
      </c>
      <c r="E55" t="s">
        <v>33</v>
      </c>
      <c r="F55" s="1">
        <v>39555</v>
      </c>
      <c r="G55" t="s">
        <v>16</v>
      </c>
      <c r="I55" t="s">
        <v>106</v>
      </c>
      <c r="J55" t="s">
        <v>215</v>
      </c>
      <c r="K55" t="s">
        <v>18</v>
      </c>
      <c r="L55">
        <v>822.33</v>
      </c>
      <c r="M55" t="s">
        <v>216</v>
      </c>
      <c r="N55" t="s">
        <v>20</v>
      </c>
    </row>
    <row r="56" spans="1:14">
      <c r="A56">
        <v>343497</v>
      </c>
      <c r="B56" t="s">
        <v>217</v>
      </c>
      <c r="C56" t="str">
        <f>"9780521850063"</f>
        <v>9780521850063</v>
      </c>
      <c r="D56" t="str">
        <f>"9780511399640"</f>
        <v>9780511399640</v>
      </c>
      <c r="E56" t="s">
        <v>33</v>
      </c>
      <c r="F56" s="1">
        <v>39597</v>
      </c>
      <c r="G56" t="s">
        <v>16</v>
      </c>
      <c r="H56">
        <v>3</v>
      </c>
      <c r="J56" t="s">
        <v>218</v>
      </c>
      <c r="K56" t="s">
        <v>219</v>
      </c>
      <c r="L56">
        <v>660.65</v>
      </c>
      <c r="M56" t="s">
        <v>220</v>
      </c>
      <c r="N56" t="s">
        <v>20</v>
      </c>
    </row>
    <row r="57" spans="1:14">
      <c r="A57">
        <v>347170</v>
      </c>
      <c r="B57" t="s">
        <v>221</v>
      </c>
      <c r="C57" t="str">
        <f>"9780521700139"</f>
        <v>9780521700139</v>
      </c>
      <c r="D57" t="str">
        <f>"9780511408052"</f>
        <v>9780511408052</v>
      </c>
      <c r="E57" t="s">
        <v>33</v>
      </c>
      <c r="F57" s="1">
        <v>39600</v>
      </c>
      <c r="G57" t="s">
        <v>16</v>
      </c>
      <c r="J57" t="s">
        <v>222</v>
      </c>
      <c r="K57" t="s">
        <v>155</v>
      </c>
      <c r="L57">
        <v>617.10757000000001</v>
      </c>
      <c r="M57" t="s">
        <v>223</v>
      </c>
      <c r="N57" t="s">
        <v>20</v>
      </c>
    </row>
    <row r="58" spans="1:14">
      <c r="A58">
        <v>347204</v>
      </c>
      <c r="B58" t="s">
        <v>224</v>
      </c>
      <c r="C58" t="str">
        <f>"9780521876933"</f>
        <v>9780521876933</v>
      </c>
      <c r="D58" t="str">
        <f>"9780511407864"</f>
        <v>9780511407864</v>
      </c>
      <c r="E58" t="s">
        <v>33</v>
      </c>
      <c r="F58" s="1">
        <v>39600</v>
      </c>
      <c r="G58" t="s">
        <v>16</v>
      </c>
      <c r="J58" t="s">
        <v>225</v>
      </c>
      <c r="K58" t="s">
        <v>103</v>
      </c>
      <c r="L58">
        <v>530.12</v>
      </c>
      <c r="M58" t="s">
        <v>226</v>
      </c>
      <c r="N58" t="s">
        <v>20</v>
      </c>
    </row>
    <row r="59" spans="1:14">
      <c r="A59">
        <v>350889</v>
      </c>
      <c r="B59" t="s">
        <v>227</v>
      </c>
      <c r="C59" t="str">
        <f>"9780631210580"</f>
        <v>9780631210580</v>
      </c>
      <c r="D59" t="str">
        <f>"9780470756447"</f>
        <v>9780470756447</v>
      </c>
      <c r="E59" t="s">
        <v>26</v>
      </c>
      <c r="F59" s="1">
        <v>36623</v>
      </c>
      <c r="G59" t="s">
        <v>16</v>
      </c>
      <c r="H59">
        <v>1</v>
      </c>
      <c r="I59" t="s">
        <v>228</v>
      </c>
      <c r="J59" t="s">
        <v>229</v>
      </c>
      <c r="K59" t="s">
        <v>50</v>
      </c>
      <c r="L59">
        <v>973.3</v>
      </c>
      <c r="M59" t="s">
        <v>230</v>
      </c>
      <c r="N59" t="s">
        <v>20</v>
      </c>
    </row>
    <row r="60" spans="1:14">
      <c r="A60">
        <v>352967</v>
      </c>
      <c r="B60" t="s">
        <v>231</v>
      </c>
      <c r="C60" t="str">
        <f>"9780521844697"</f>
        <v>9780521844697</v>
      </c>
      <c r="D60" t="str">
        <f>"9780511412844"</f>
        <v>9780511412844</v>
      </c>
      <c r="E60" t="s">
        <v>33</v>
      </c>
      <c r="F60" s="1">
        <v>39630</v>
      </c>
      <c r="G60" t="s">
        <v>16</v>
      </c>
      <c r="I60" t="s">
        <v>106</v>
      </c>
      <c r="J60" t="s">
        <v>232</v>
      </c>
      <c r="K60" t="s">
        <v>18</v>
      </c>
      <c r="L60">
        <v>891.70899999999995</v>
      </c>
      <c r="M60" t="s">
        <v>233</v>
      </c>
      <c r="N60" t="s">
        <v>20</v>
      </c>
    </row>
    <row r="61" spans="1:14">
      <c r="A61">
        <v>354934</v>
      </c>
      <c r="B61" t="s">
        <v>234</v>
      </c>
      <c r="C61" t="str">
        <f>"9780761973744"</f>
        <v>9780761973744</v>
      </c>
      <c r="D61" t="str">
        <f>"9781848605237"</f>
        <v>9781848605237</v>
      </c>
      <c r="E61" t="s">
        <v>193</v>
      </c>
      <c r="F61" s="1">
        <v>38132</v>
      </c>
      <c r="G61" t="s">
        <v>16</v>
      </c>
      <c r="H61">
        <v>1</v>
      </c>
      <c r="J61" t="s">
        <v>235</v>
      </c>
      <c r="K61" t="s">
        <v>55</v>
      </c>
      <c r="L61">
        <v>300</v>
      </c>
      <c r="M61" t="s">
        <v>195</v>
      </c>
      <c r="N61" t="s">
        <v>20</v>
      </c>
    </row>
    <row r="62" spans="1:14">
      <c r="A62">
        <v>355433</v>
      </c>
      <c r="B62" t="s">
        <v>236</v>
      </c>
      <c r="C62" t="str">
        <f>"9780521682428"</f>
        <v>9780521682428</v>
      </c>
      <c r="D62" t="str">
        <f>"9780511422331"</f>
        <v>9780511422331</v>
      </c>
      <c r="E62" t="s">
        <v>33</v>
      </c>
      <c r="F62" s="1">
        <v>39590</v>
      </c>
      <c r="G62" t="s">
        <v>16</v>
      </c>
      <c r="J62" t="s">
        <v>237</v>
      </c>
      <c r="K62" t="s">
        <v>155</v>
      </c>
      <c r="L62">
        <v>616.80475722000006</v>
      </c>
      <c r="M62" t="s">
        <v>238</v>
      </c>
      <c r="N62" t="s">
        <v>20</v>
      </c>
    </row>
    <row r="63" spans="1:14">
      <c r="A63">
        <v>355435</v>
      </c>
      <c r="B63" t="s">
        <v>239</v>
      </c>
      <c r="C63" t="str">
        <f>"9780521705677"</f>
        <v>9780521705677</v>
      </c>
      <c r="D63" t="str">
        <f>"9780511422348"</f>
        <v>9780511422348</v>
      </c>
      <c r="E63" t="s">
        <v>33</v>
      </c>
      <c r="F63" s="1">
        <v>39569</v>
      </c>
      <c r="G63" t="s">
        <v>16</v>
      </c>
      <c r="I63" t="s">
        <v>240</v>
      </c>
      <c r="J63" t="s">
        <v>241</v>
      </c>
      <c r="K63" t="s">
        <v>242</v>
      </c>
      <c r="L63">
        <v>615.78083000000004</v>
      </c>
      <c r="M63" t="s">
        <v>243</v>
      </c>
      <c r="N63" t="s">
        <v>20</v>
      </c>
    </row>
    <row r="64" spans="1:14">
      <c r="A64">
        <v>358848</v>
      </c>
      <c r="B64" t="s">
        <v>244</v>
      </c>
      <c r="C64" t="str">
        <f>"9780521604086"</f>
        <v>9780521604086</v>
      </c>
      <c r="D64" t="str">
        <f>"9780511428258"</f>
        <v>9780511428258</v>
      </c>
      <c r="E64" t="s">
        <v>33</v>
      </c>
      <c r="F64" s="1">
        <v>39709</v>
      </c>
      <c r="G64" t="s">
        <v>16</v>
      </c>
      <c r="H64">
        <v>4</v>
      </c>
      <c r="J64" t="s">
        <v>245</v>
      </c>
      <c r="K64" t="s">
        <v>246</v>
      </c>
      <c r="L64">
        <v>616.89</v>
      </c>
      <c r="M64" t="s">
        <v>247</v>
      </c>
      <c r="N64" t="s">
        <v>20</v>
      </c>
    </row>
    <row r="65" spans="1:14">
      <c r="A65">
        <v>358855</v>
      </c>
      <c r="B65" t="s">
        <v>248</v>
      </c>
      <c r="C65" t="str">
        <f>"9780521854115"</f>
        <v>9780521854115</v>
      </c>
      <c r="D65" t="str">
        <f>"9780511428302"</f>
        <v>9780511428302</v>
      </c>
      <c r="E65" t="s">
        <v>33</v>
      </c>
      <c r="F65" s="1">
        <v>39692</v>
      </c>
      <c r="G65" t="s">
        <v>16</v>
      </c>
      <c r="I65" t="s">
        <v>106</v>
      </c>
      <c r="J65" t="s">
        <v>249</v>
      </c>
      <c r="K65" t="s">
        <v>18</v>
      </c>
      <c r="L65">
        <v>811.52</v>
      </c>
      <c r="M65" t="s">
        <v>250</v>
      </c>
      <c r="N65" t="s">
        <v>20</v>
      </c>
    </row>
    <row r="66" spans="1:14">
      <c r="A66">
        <v>358856</v>
      </c>
      <c r="B66" t="s">
        <v>251</v>
      </c>
      <c r="C66" t="str">
        <f>"9780521854573"</f>
        <v>9780521854573</v>
      </c>
      <c r="D66" t="str">
        <f>"9780511428319"</f>
        <v>9780511428319</v>
      </c>
      <c r="E66" t="s">
        <v>33</v>
      </c>
      <c r="F66" s="1">
        <v>39692</v>
      </c>
      <c r="G66" t="s">
        <v>16</v>
      </c>
      <c r="I66" t="s">
        <v>106</v>
      </c>
      <c r="J66" t="s">
        <v>252</v>
      </c>
      <c r="K66" t="s">
        <v>18</v>
      </c>
      <c r="L66">
        <v>813.52</v>
      </c>
      <c r="M66" t="s">
        <v>253</v>
      </c>
      <c r="N66" t="s">
        <v>20</v>
      </c>
    </row>
    <row r="67" spans="1:14">
      <c r="A67">
        <v>358859</v>
      </c>
      <c r="B67" t="s">
        <v>254</v>
      </c>
      <c r="C67" t="str">
        <f>"9780521859677"</f>
        <v>9780521859677</v>
      </c>
      <c r="D67" t="str">
        <f>"9780511428340"</f>
        <v>9780511428340</v>
      </c>
      <c r="E67" t="s">
        <v>33</v>
      </c>
      <c r="F67" s="1">
        <v>39692</v>
      </c>
      <c r="G67" t="s">
        <v>16</v>
      </c>
      <c r="I67" t="s">
        <v>106</v>
      </c>
      <c r="J67" t="s">
        <v>255</v>
      </c>
      <c r="K67" t="s">
        <v>18</v>
      </c>
      <c r="L67">
        <v>818.30899999999997</v>
      </c>
      <c r="M67" t="s">
        <v>256</v>
      </c>
      <c r="N67" t="s">
        <v>20</v>
      </c>
    </row>
    <row r="68" spans="1:14">
      <c r="A68">
        <v>358860</v>
      </c>
      <c r="B68" t="s">
        <v>257</v>
      </c>
      <c r="C68" t="str">
        <f>"9780521864435"</f>
        <v>9780521864435</v>
      </c>
      <c r="D68" t="str">
        <f>"9780511428357"</f>
        <v>9780511428357</v>
      </c>
      <c r="E68" t="s">
        <v>33</v>
      </c>
      <c r="F68" s="1">
        <v>39692</v>
      </c>
      <c r="G68" t="s">
        <v>16</v>
      </c>
      <c r="I68" t="s">
        <v>106</v>
      </c>
      <c r="J68" t="s">
        <v>258</v>
      </c>
      <c r="K68" t="s">
        <v>138</v>
      </c>
      <c r="L68">
        <v>194</v>
      </c>
      <c r="M68" t="s">
        <v>259</v>
      </c>
      <c r="N68" t="s">
        <v>20</v>
      </c>
    </row>
    <row r="69" spans="1:14">
      <c r="A69">
        <v>358861</v>
      </c>
      <c r="B69" t="s">
        <v>260</v>
      </c>
      <c r="C69" t="str">
        <f>"9780521864589"</f>
        <v>9780521864589</v>
      </c>
      <c r="D69" t="str">
        <f>"9780511428364"</f>
        <v>9780511428364</v>
      </c>
      <c r="E69" t="s">
        <v>33</v>
      </c>
      <c r="F69" s="1">
        <v>39692</v>
      </c>
      <c r="G69" t="s">
        <v>16</v>
      </c>
      <c r="I69" t="s">
        <v>106</v>
      </c>
      <c r="J69" t="s">
        <v>261</v>
      </c>
      <c r="K69" t="s">
        <v>18</v>
      </c>
      <c r="L69">
        <v>838.91209000000003</v>
      </c>
      <c r="M69" t="s">
        <v>262</v>
      </c>
      <c r="N69" t="s">
        <v>20</v>
      </c>
    </row>
    <row r="70" spans="1:14">
      <c r="A70">
        <v>358863</v>
      </c>
      <c r="B70" t="s">
        <v>263</v>
      </c>
      <c r="C70" t="str">
        <f>"9780521867269"</f>
        <v>9780521867269</v>
      </c>
      <c r="D70" t="str">
        <f>"9780511428388"</f>
        <v>9780511428388</v>
      </c>
      <c r="E70" t="s">
        <v>33</v>
      </c>
      <c r="F70" s="1">
        <v>39692</v>
      </c>
      <c r="G70" t="s">
        <v>16</v>
      </c>
      <c r="I70" t="s">
        <v>106</v>
      </c>
      <c r="J70" t="s">
        <v>264</v>
      </c>
      <c r="K70" t="s">
        <v>18</v>
      </c>
      <c r="L70">
        <v>811.54</v>
      </c>
      <c r="M70" t="s">
        <v>265</v>
      </c>
      <c r="N70" t="s">
        <v>20</v>
      </c>
    </row>
    <row r="71" spans="1:14">
      <c r="A71">
        <v>359371</v>
      </c>
      <c r="B71" t="s">
        <v>266</v>
      </c>
      <c r="C71" t="str">
        <f>"9789221157311"</f>
        <v>9789221157311</v>
      </c>
      <c r="D71" t="str">
        <f>"9789221174745"</f>
        <v>9789221174745</v>
      </c>
      <c r="E71" t="s">
        <v>267</v>
      </c>
      <c r="F71" s="1">
        <v>38353</v>
      </c>
      <c r="G71" t="s">
        <v>16</v>
      </c>
      <c r="J71" t="s">
        <v>268</v>
      </c>
      <c r="K71" t="s">
        <v>269</v>
      </c>
      <c r="L71" t="s">
        <v>270</v>
      </c>
      <c r="M71" t="s">
        <v>271</v>
      </c>
      <c r="N71" t="s">
        <v>20</v>
      </c>
    </row>
    <row r="72" spans="1:14">
      <c r="A72">
        <v>361918</v>
      </c>
      <c r="B72" t="s">
        <v>272</v>
      </c>
      <c r="C72" t="str">
        <f>"9781593393724"</f>
        <v>9781593393724</v>
      </c>
      <c r="D72" t="str">
        <f>"9781593394769"</f>
        <v>9781593394769</v>
      </c>
      <c r="E72" t="s">
        <v>273</v>
      </c>
      <c r="F72" s="1">
        <v>39449</v>
      </c>
      <c r="G72" t="s">
        <v>16</v>
      </c>
      <c r="H72">
        <v>1</v>
      </c>
      <c r="J72" t="s">
        <v>274</v>
      </c>
      <c r="K72" t="s">
        <v>275</v>
      </c>
      <c r="M72" t="s">
        <v>276</v>
      </c>
      <c r="N72" t="s">
        <v>20</v>
      </c>
    </row>
    <row r="73" spans="1:14">
      <c r="A73">
        <v>362155</v>
      </c>
      <c r="B73" t="s">
        <v>277</v>
      </c>
      <c r="C73" t="str">
        <f>"9780470110065"</f>
        <v>9780470110065</v>
      </c>
      <c r="D73" t="str">
        <f>"9780470386156"</f>
        <v>9780470386156</v>
      </c>
      <c r="E73" t="s">
        <v>26</v>
      </c>
      <c r="F73" s="1">
        <v>39734</v>
      </c>
      <c r="G73" t="s">
        <v>16</v>
      </c>
      <c r="H73">
        <v>1</v>
      </c>
      <c r="J73" t="s">
        <v>278</v>
      </c>
      <c r="K73" t="s">
        <v>151</v>
      </c>
      <c r="L73" t="s">
        <v>279</v>
      </c>
      <c r="M73" t="s">
        <v>280</v>
      </c>
      <c r="N73" t="s">
        <v>20</v>
      </c>
    </row>
    <row r="74" spans="1:14">
      <c r="A74">
        <v>367053</v>
      </c>
      <c r="B74" t="s">
        <v>281</v>
      </c>
      <c r="C74" t="str">
        <f>"9780521841061"</f>
        <v>9780521841061</v>
      </c>
      <c r="D74" t="str">
        <f>"9780511435959"</f>
        <v>9780511435959</v>
      </c>
      <c r="E74" t="s">
        <v>33</v>
      </c>
      <c r="F74" s="1">
        <v>39600</v>
      </c>
      <c r="G74" t="s">
        <v>16</v>
      </c>
      <c r="I74" t="s">
        <v>53</v>
      </c>
      <c r="J74" t="s">
        <v>282</v>
      </c>
      <c r="K74" t="s">
        <v>283</v>
      </c>
      <c r="L74">
        <v>121.68</v>
      </c>
      <c r="M74" t="s">
        <v>284</v>
      </c>
      <c r="N74" t="s">
        <v>20</v>
      </c>
    </row>
    <row r="75" spans="1:14">
      <c r="A75">
        <v>410136</v>
      </c>
      <c r="B75" t="s">
        <v>285</v>
      </c>
      <c r="C75" t="str">
        <f>"9780521766289"</f>
        <v>9780521766289</v>
      </c>
      <c r="D75" t="str">
        <f>"9780511463013"</f>
        <v>9780511463013</v>
      </c>
      <c r="E75" t="s">
        <v>33</v>
      </c>
      <c r="F75" s="1">
        <v>39814</v>
      </c>
      <c r="G75" t="s">
        <v>16</v>
      </c>
      <c r="J75" t="s">
        <v>286</v>
      </c>
      <c r="K75" t="s">
        <v>155</v>
      </c>
      <c r="L75">
        <v>616.23075449999999</v>
      </c>
      <c r="M75" t="s">
        <v>287</v>
      </c>
      <c r="N75" t="s">
        <v>20</v>
      </c>
    </row>
    <row r="76" spans="1:14">
      <c r="A76">
        <v>410173</v>
      </c>
      <c r="B76" t="s">
        <v>288</v>
      </c>
      <c r="C76" t="str">
        <f>"9780521516815"</f>
        <v>9780521516815</v>
      </c>
      <c r="D76" t="str">
        <f>"9780511462986"</f>
        <v>9780511462986</v>
      </c>
      <c r="E76" t="s">
        <v>33</v>
      </c>
      <c r="F76" s="1">
        <v>39783</v>
      </c>
      <c r="G76" t="s">
        <v>16</v>
      </c>
      <c r="J76" t="s">
        <v>289</v>
      </c>
      <c r="K76" t="s">
        <v>155</v>
      </c>
      <c r="L76">
        <v>616.07899999999995</v>
      </c>
      <c r="M76" t="s">
        <v>290</v>
      </c>
      <c r="N76" t="s">
        <v>20</v>
      </c>
    </row>
    <row r="77" spans="1:14">
      <c r="A77">
        <v>412741</v>
      </c>
      <c r="B77" t="s">
        <v>291</v>
      </c>
      <c r="C77" t="str">
        <f>"9780521700146"</f>
        <v>9780521700146</v>
      </c>
      <c r="D77" t="str">
        <f>"9780511477683"</f>
        <v>9780511477683</v>
      </c>
      <c r="E77" t="s">
        <v>33</v>
      </c>
      <c r="F77" s="1">
        <v>39845</v>
      </c>
      <c r="G77" t="s">
        <v>16</v>
      </c>
      <c r="J77" t="s">
        <v>292</v>
      </c>
      <c r="K77" t="s">
        <v>155</v>
      </c>
      <c r="L77">
        <v>617.55075699999998</v>
      </c>
      <c r="M77" t="s">
        <v>293</v>
      </c>
      <c r="N77" t="s">
        <v>20</v>
      </c>
    </row>
    <row r="78" spans="1:14">
      <c r="A78">
        <v>412801</v>
      </c>
      <c r="B78" t="s">
        <v>294</v>
      </c>
      <c r="C78" t="str">
        <f>"9780521843256"</f>
        <v>9780521843256</v>
      </c>
      <c r="D78" t="str">
        <f>"9780511477102"</f>
        <v>9780511477102</v>
      </c>
      <c r="E78" t="s">
        <v>33</v>
      </c>
      <c r="F78" s="1">
        <v>39380</v>
      </c>
      <c r="G78" t="s">
        <v>16</v>
      </c>
      <c r="I78" t="s">
        <v>106</v>
      </c>
      <c r="J78" t="s">
        <v>295</v>
      </c>
      <c r="K78" t="s">
        <v>18</v>
      </c>
      <c r="L78">
        <v>813.40899999999999</v>
      </c>
      <c r="M78" t="s">
        <v>296</v>
      </c>
      <c r="N78" t="s">
        <v>20</v>
      </c>
    </row>
    <row r="79" spans="1:14">
      <c r="A79">
        <v>412806</v>
      </c>
      <c r="B79" t="s">
        <v>297</v>
      </c>
      <c r="C79" t="str">
        <f>"9780521866453"</f>
        <v>9780521866453</v>
      </c>
      <c r="D79" t="str">
        <f>"9780511477034"</f>
        <v>9780511477034</v>
      </c>
      <c r="E79" t="s">
        <v>33</v>
      </c>
      <c r="F79" s="1">
        <v>39508</v>
      </c>
      <c r="G79" t="s">
        <v>16</v>
      </c>
      <c r="H79">
        <v>4</v>
      </c>
      <c r="J79" t="s">
        <v>298</v>
      </c>
      <c r="K79" t="s">
        <v>299</v>
      </c>
      <c r="L79">
        <v>580.14</v>
      </c>
      <c r="M79" t="s">
        <v>300</v>
      </c>
      <c r="N79" t="s">
        <v>20</v>
      </c>
    </row>
    <row r="80" spans="1:14">
      <c r="A80">
        <v>416345</v>
      </c>
      <c r="B80" t="s">
        <v>301</v>
      </c>
      <c r="C80" t="str">
        <f>"9781405145374"</f>
        <v>9781405145374</v>
      </c>
      <c r="D80" t="str">
        <f>"9781444304787"</f>
        <v>9781444304787</v>
      </c>
      <c r="E80" t="s">
        <v>26</v>
      </c>
      <c r="F80" s="1">
        <v>39741</v>
      </c>
      <c r="G80" t="s">
        <v>16</v>
      </c>
      <c r="H80">
        <v>1</v>
      </c>
      <c r="I80" t="s">
        <v>302</v>
      </c>
      <c r="J80" t="s">
        <v>303</v>
      </c>
      <c r="K80" t="s">
        <v>18</v>
      </c>
      <c r="L80" t="s">
        <v>304</v>
      </c>
      <c r="M80" t="s">
        <v>305</v>
      </c>
      <c r="N80" t="s">
        <v>20</v>
      </c>
    </row>
    <row r="81" spans="1:14">
      <c r="A81">
        <v>416514</v>
      </c>
      <c r="B81" t="s">
        <v>306</v>
      </c>
      <c r="C81" t="str">
        <f>"9781405173636"</f>
        <v>9781405173636</v>
      </c>
      <c r="D81" t="str">
        <f>"9781444303667"</f>
        <v>9781444303667</v>
      </c>
      <c r="E81" t="s">
        <v>26</v>
      </c>
      <c r="F81" s="1">
        <v>39833</v>
      </c>
      <c r="G81" t="s">
        <v>16</v>
      </c>
      <c r="H81">
        <v>1</v>
      </c>
      <c r="I81" t="s">
        <v>307</v>
      </c>
      <c r="J81" t="s">
        <v>308</v>
      </c>
      <c r="K81" t="s">
        <v>309</v>
      </c>
      <c r="L81">
        <v>796.01</v>
      </c>
      <c r="M81" t="s">
        <v>310</v>
      </c>
      <c r="N81" t="s">
        <v>20</v>
      </c>
    </row>
    <row r="82" spans="1:14">
      <c r="A82">
        <v>416539</v>
      </c>
      <c r="B82" t="s">
        <v>311</v>
      </c>
      <c r="C82" t="str">
        <f>"9781405184960"</f>
        <v>9781405184960</v>
      </c>
      <c r="D82" t="str">
        <f>"9781444305005"</f>
        <v>9781444305005</v>
      </c>
      <c r="E82" t="s">
        <v>26</v>
      </c>
      <c r="F82" s="1">
        <v>39505</v>
      </c>
      <c r="G82" t="s">
        <v>16</v>
      </c>
      <c r="H82">
        <v>1</v>
      </c>
      <c r="I82" t="s">
        <v>312</v>
      </c>
      <c r="J82" t="s">
        <v>313</v>
      </c>
      <c r="K82" t="s">
        <v>55</v>
      </c>
      <c r="L82">
        <v>300.10000000000002</v>
      </c>
      <c r="M82" t="s">
        <v>314</v>
      </c>
      <c r="N82" t="s">
        <v>20</v>
      </c>
    </row>
    <row r="83" spans="1:14">
      <c r="A83">
        <v>424560</v>
      </c>
      <c r="B83" t="s">
        <v>315</v>
      </c>
      <c r="C83" t="str">
        <f>"9780521493437"</f>
        <v>9780521493437</v>
      </c>
      <c r="D83" t="str">
        <f>"9780511504884"</f>
        <v>9780511504884</v>
      </c>
      <c r="E83" t="s">
        <v>33</v>
      </c>
      <c r="F83" s="1">
        <v>39863</v>
      </c>
      <c r="G83" t="s">
        <v>16</v>
      </c>
      <c r="J83" t="s">
        <v>316</v>
      </c>
      <c r="K83" t="s">
        <v>66</v>
      </c>
      <c r="L83" t="s">
        <v>317</v>
      </c>
      <c r="M83" t="s">
        <v>318</v>
      </c>
      <c r="N83" t="s">
        <v>20</v>
      </c>
    </row>
    <row r="84" spans="1:14">
      <c r="A84">
        <v>424562</v>
      </c>
      <c r="B84" t="s">
        <v>319</v>
      </c>
      <c r="C84" t="str">
        <f>"9780521862202"</f>
        <v>9780521862202</v>
      </c>
      <c r="D84" t="str">
        <f>"9780511504587"</f>
        <v>9780511504587</v>
      </c>
      <c r="E84" t="s">
        <v>33</v>
      </c>
      <c r="F84" s="1">
        <v>39845</v>
      </c>
      <c r="G84" t="s">
        <v>16</v>
      </c>
      <c r="I84" t="s">
        <v>53</v>
      </c>
      <c r="J84" t="s">
        <v>320</v>
      </c>
      <c r="K84" t="s">
        <v>321</v>
      </c>
      <c r="L84">
        <v>302.2244</v>
      </c>
      <c r="M84" t="s">
        <v>322</v>
      </c>
      <c r="N84" t="s">
        <v>20</v>
      </c>
    </row>
    <row r="85" spans="1:14">
      <c r="A85">
        <v>424597</v>
      </c>
      <c r="B85" t="s">
        <v>323</v>
      </c>
      <c r="C85" t="str">
        <f>"9780521864169"</f>
        <v>9780521864169</v>
      </c>
      <c r="D85" t="str">
        <f>"9780511504099"</f>
        <v>9780511504099</v>
      </c>
      <c r="E85" t="s">
        <v>33</v>
      </c>
      <c r="F85" s="1">
        <v>39380</v>
      </c>
      <c r="G85" t="s">
        <v>16</v>
      </c>
      <c r="I85" t="s">
        <v>106</v>
      </c>
      <c r="J85" t="s">
        <v>324</v>
      </c>
      <c r="K85" t="s">
        <v>138</v>
      </c>
      <c r="L85">
        <v>194</v>
      </c>
      <c r="M85" t="s">
        <v>325</v>
      </c>
      <c r="N85" t="s">
        <v>20</v>
      </c>
    </row>
    <row r="86" spans="1:14">
      <c r="A86">
        <v>424602</v>
      </c>
      <c r="B86" t="s">
        <v>326</v>
      </c>
      <c r="C86" t="str">
        <f>"9780521862592"</f>
        <v>9780521862592</v>
      </c>
      <c r="D86" t="str">
        <f>"9780511504082"</f>
        <v>9780511504082</v>
      </c>
      <c r="E86" t="s">
        <v>33</v>
      </c>
      <c r="F86" s="1">
        <v>39387</v>
      </c>
      <c r="G86" t="s">
        <v>16</v>
      </c>
      <c r="I86" t="s">
        <v>106</v>
      </c>
      <c r="J86" t="s">
        <v>327</v>
      </c>
      <c r="K86" t="s">
        <v>18</v>
      </c>
      <c r="L86">
        <v>823.01089999999999</v>
      </c>
      <c r="M86" t="s">
        <v>328</v>
      </c>
      <c r="N86" t="s">
        <v>20</v>
      </c>
    </row>
    <row r="87" spans="1:14">
      <c r="A87">
        <v>424605</v>
      </c>
      <c r="B87" t="s">
        <v>329</v>
      </c>
      <c r="C87" t="str">
        <f>"9780521833400"</f>
        <v>9780521833400</v>
      </c>
      <c r="D87" t="str">
        <f>"9780511504044"</f>
        <v>9780511504044</v>
      </c>
      <c r="E87" t="s">
        <v>33</v>
      </c>
      <c r="F87" s="1">
        <v>39380</v>
      </c>
      <c r="G87" t="s">
        <v>16</v>
      </c>
      <c r="I87" t="s">
        <v>106</v>
      </c>
      <c r="J87" t="s">
        <v>330</v>
      </c>
      <c r="K87" t="s">
        <v>18</v>
      </c>
      <c r="L87">
        <v>820.9</v>
      </c>
      <c r="M87" t="s">
        <v>331</v>
      </c>
      <c r="N87" t="s">
        <v>20</v>
      </c>
    </row>
    <row r="88" spans="1:14">
      <c r="A88">
        <v>427674</v>
      </c>
      <c r="B88" t="s">
        <v>332</v>
      </c>
      <c r="C88" t="str">
        <f>"9780470155745"</f>
        <v>9780470155745</v>
      </c>
      <c r="D88" t="str">
        <f>"9780470156186"</f>
        <v>9780470156186</v>
      </c>
      <c r="E88" t="s">
        <v>26</v>
      </c>
      <c r="F88" s="1">
        <v>39812</v>
      </c>
      <c r="G88" t="s">
        <v>16</v>
      </c>
      <c r="H88">
        <v>2</v>
      </c>
      <c r="J88" t="s">
        <v>333</v>
      </c>
      <c r="K88" t="s">
        <v>334</v>
      </c>
      <c r="L88" t="s">
        <v>335</v>
      </c>
      <c r="M88" t="s">
        <v>336</v>
      </c>
      <c r="N88" t="s">
        <v>20</v>
      </c>
    </row>
    <row r="89" spans="1:14">
      <c r="A89">
        <v>427885</v>
      </c>
      <c r="B89" t="s">
        <v>337</v>
      </c>
      <c r="C89" t="str">
        <f>"9781119000884"</f>
        <v>9781119000884</v>
      </c>
      <c r="D89" t="str">
        <f>"9780470455319"</f>
        <v>9780470455319</v>
      </c>
      <c r="E89" t="s">
        <v>26</v>
      </c>
      <c r="F89" s="1">
        <v>39902</v>
      </c>
      <c r="G89" t="s">
        <v>16</v>
      </c>
      <c r="H89">
        <v>3</v>
      </c>
      <c r="I89" t="s">
        <v>338</v>
      </c>
      <c r="J89" t="s">
        <v>339</v>
      </c>
      <c r="K89" t="s">
        <v>340</v>
      </c>
      <c r="L89" t="s">
        <v>341</v>
      </c>
      <c r="M89" t="s">
        <v>342</v>
      </c>
      <c r="N89" t="s">
        <v>20</v>
      </c>
    </row>
    <row r="90" spans="1:14">
      <c r="A90">
        <v>428019</v>
      </c>
      <c r="B90" t="s">
        <v>343</v>
      </c>
      <c r="C90" t="str">
        <f>"9780632049516"</f>
        <v>9780632049516</v>
      </c>
      <c r="D90" t="str">
        <f>"9781444311488"</f>
        <v>9781444311488</v>
      </c>
      <c r="E90" t="s">
        <v>26</v>
      </c>
      <c r="F90" s="1">
        <v>36375</v>
      </c>
      <c r="G90" t="s">
        <v>16</v>
      </c>
      <c r="H90">
        <v>1</v>
      </c>
      <c r="J90" t="s">
        <v>344</v>
      </c>
      <c r="K90" t="s">
        <v>345</v>
      </c>
      <c r="L90" t="s">
        <v>346</v>
      </c>
      <c r="M90" t="s">
        <v>347</v>
      </c>
      <c r="N90" t="s">
        <v>20</v>
      </c>
    </row>
    <row r="91" spans="1:14">
      <c r="A91">
        <v>428123</v>
      </c>
      <c r="B91" t="s">
        <v>348</v>
      </c>
      <c r="C91" t="str">
        <f>"9781118730003"</f>
        <v>9781118730003</v>
      </c>
      <c r="D91" t="str">
        <f>"9781444308426"</f>
        <v>9781444308426</v>
      </c>
      <c r="E91" t="s">
        <v>26</v>
      </c>
      <c r="F91" s="1">
        <v>39909</v>
      </c>
      <c r="G91" t="s">
        <v>16</v>
      </c>
      <c r="H91">
        <v>1</v>
      </c>
      <c r="I91" t="s">
        <v>349</v>
      </c>
      <c r="J91" t="s">
        <v>350</v>
      </c>
      <c r="K91" t="s">
        <v>50</v>
      </c>
      <c r="L91">
        <v>947</v>
      </c>
      <c r="M91" t="s">
        <v>351</v>
      </c>
      <c r="N91" t="s">
        <v>20</v>
      </c>
    </row>
    <row r="92" spans="1:14">
      <c r="A92">
        <v>428164</v>
      </c>
      <c r="B92" t="s">
        <v>352</v>
      </c>
      <c r="C92" t="str">
        <f>"9781405152983"</f>
        <v>9781405152983</v>
      </c>
      <c r="D92" t="str">
        <f>"9781444308532"</f>
        <v>9781444308532</v>
      </c>
      <c r="E92" t="s">
        <v>26</v>
      </c>
      <c r="F92" s="1">
        <v>39916</v>
      </c>
      <c r="G92" t="s">
        <v>16</v>
      </c>
      <c r="H92">
        <v>2</v>
      </c>
      <c r="I92" t="s">
        <v>141</v>
      </c>
      <c r="J92" t="s">
        <v>353</v>
      </c>
      <c r="K92" t="s">
        <v>138</v>
      </c>
      <c r="L92">
        <v>110.3</v>
      </c>
      <c r="M92" t="s">
        <v>354</v>
      </c>
      <c r="N92" t="s">
        <v>20</v>
      </c>
    </row>
    <row r="93" spans="1:14">
      <c r="A93">
        <v>432010</v>
      </c>
      <c r="B93" t="s">
        <v>355</v>
      </c>
      <c r="C93" t="str">
        <f>"9780521699754"</f>
        <v>9780521699754</v>
      </c>
      <c r="D93" t="str">
        <f>"9780511515286"</f>
        <v>9780511515286</v>
      </c>
      <c r="E93" t="s">
        <v>33</v>
      </c>
      <c r="F93" s="1">
        <v>39874</v>
      </c>
      <c r="G93" t="s">
        <v>16</v>
      </c>
      <c r="J93" t="s">
        <v>356</v>
      </c>
      <c r="K93" t="s">
        <v>155</v>
      </c>
      <c r="L93">
        <v>617.44105920000004</v>
      </c>
      <c r="M93" t="s">
        <v>357</v>
      </c>
      <c r="N93" t="s">
        <v>20</v>
      </c>
    </row>
    <row r="94" spans="1:14">
      <c r="A94">
        <v>432031</v>
      </c>
      <c r="B94" t="s">
        <v>358</v>
      </c>
      <c r="C94" t="str">
        <f>"9780521867474"</f>
        <v>9780521867474</v>
      </c>
      <c r="D94" t="str">
        <f>"9780511515699"</f>
        <v>9780511515699</v>
      </c>
      <c r="E94" t="s">
        <v>33</v>
      </c>
      <c r="F94" s="1">
        <v>39898</v>
      </c>
      <c r="G94" t="s">
        <v>16</v>
      </c>
      <c r="I94" t="s">
        <v>106</v>
      </c>
      <c r="J94" t="s">
        <v>359</v>
      </c>
      <c r="K94" t="s">
        <v>18</v>
      </c>
      <c r="L94">
        <v>823</v>
      </c>
      <c r="M94" t="s">
        <v>360</v>
      </c>
      <c r="N94" t="s">
        <v>20</v>
      </c>
    </row>
    <row r="95" spans="1:14">
      <c r="A95">
        <v>432062</v>
      </c>
      <c r="B95" t="s">
        <v>361</v>
      </c>
      <c r="C95" t="str">
        <f>"9780521873666"</f>
        <v>9780521873666</v>
      </c>
      <c r="D95" t="str">
        <f>"9780511515712"</f>
        <v>9780511515712</v>
      </c>
      <c r="E95" t="s">
        <v>33</v>
      </c>
      <c r="F95" s="1">
        <v>39904</v>
      </c>
      <c r="G95" t="s">
        <v>16</v>
      </c>
      <c r="I95" t="s">
        <v>106</v>
      </c>
      <c r="J95" t="s">
        <v>362</v>
      </c>
      <c r="K95" t="s">
        <v>18</v>
      </c>
      <c r="L95">
        <v>823</v>
      </c>
      <c r="M95" t="s">
        <v>363</v>
      </c>
      <c r="N95" t="s">
        <v>20</v>
      </c>
    </row>
    <row r="96" spans="1:14">
      <c r="A96">
        <v>433023</v>
      </c>
      <c r="B96" t="s">
        <v>364</v>
      </c>
      <c r="C96" t="str">
        <f>"9780521682053"</f>
        <v>9780521682053</v>
      </c>
      <c r="D96" t="str">
        <f>"9780511532467"</f>
        <v>9780511532467</v>
      </c>
      <c r="E96" t="s">
        <v>33</v>
      </c>
      <c r="F96" s="1">
        <v>39814</v>
      </c>
      <c r="G96" t="s">
        <v>16</v>
      </c>
      <c r="I96" t="s">
        <v>365</v>
      </c>
      <c r="J96" t="s">
        <v>366</v>
      </c>
      <c r="K96" t="s">
        <v>155</v>
      </c>
      <c r="L96">
        <v>617</v>
      </c>
      <c r="M96" t="s">
        <v>367</v>
      </c>
      <c r="N96" t="s">
        <v>20</v>
      </c>
    </row>
    <row r="97" spans="1:14">
      <c r="A97">
        <v>433814</v>
      </c>
      <c r="B97" t="s">
        <v>368</v>
      </c>
      <c r="C97" t="str">
        <f>"9780470442562"</f>
        <v>9780470442562</v>
      </c>
      <c r="D97" t="str">
        <f>"9780470486221"</f>
        <v>9780470486221</v>
      </c>
      <c r="E97" t="s">
        <v>26</v>
      </c>
      <c r="F97" s="1">
        <v>39937</v>
      </c>
      <c r="G97" t="s">
        <v>16</v>
      </c>
      <c r="H97">
        <v>1</v>
      </c>
      <c r="I97" t="s">
        <v>369</v>
      </c>
      <c r="J97" t="s">
        <v>370</v>
      </c>
      <c r="K97" t="s">
        <v>371</v>
      </c>
      <c r="L97" t="s">
        <v>372</v>
      </c>
      <c r="M97" t="s">
        <v>373</v>
      </c>
      <c r="N97" t="s">
        <v>20</v>
      </c>
    </row>
    <row r="98" spans="1:14">
      <c r="A98">
        <v>433825</v>
      </c>
      <c r="B98" t="s">
        <v>374</v>
      </c>
      <c r="C98" t="str">
        <f>"9780470432365"</f>
        <v>9780470432365</v>
      </c>
      <c r="D98" t="str">
        <f>"9780470523391"</f>
        <v>9780470523391</v>
      </c>
      <c r="E98" t="s">
        <v>26</v>
      </c>
      <c r="F98" s="1">
        <v>39937</v>
      </c>
      <c r="G98" t="s">
        <v>16</v>
      </c>
      <c r="H98">
        <v>1</v>
      </c>
      <c r="I98" t="s">
        <v>375</v>
      </c>
      <c r="J98" t="s">
        <v>376</v>
      </c>
      <c r="K98" t="s">
        <v>29</v>
      </c>
      <c r="L98">
        <v>657.98</v>
      </c>
      <c r="M98" t="s">
        <v>377</v>
      </c>
      <c r="N98" t="s">
        <v>20</v>
      </c>
    </row>
    <row r="99" spans="1:14">
      <c r="A99">
        <v>435138</v>
      </c>
      <c r="B99" t="s">
        <v>378</v>
      </c>
      <c r="C99" t="str">
        <f>"9780826137937"</f>
        <v>9780826137937</v>
      </c>
      <c r="D99" t="str">
        <f>"9780826137944"</f>
        <v>9780826137944</v>
      </c>
      <c r="E99" t="s">
        <v>379</v>
      </c>
      <c r="F99" s="1">
        <v>39814</v>
      </c>
      <c r="G99" t="s">
        <v>16</v>
      </c>
      <c r="J99" t="s">
        <v>380</v>
      </c>
      <c r="K99" t="s">
        <v>246</v>
      </c>
      <c r="L99" t="s">
        <v>381</v>
      </c>
      <c r="M99" t="s">
        <v>382</v>
      </c>
      <c r="N99" t="s">
        <v>20</v>
      </c>
    </row>
    <row r="100" spans="1:14">
      <c r="A100">
        <v>437482</v>
      </c>
      <c r="B100" t="s">
        <v>383</v>
      </c>
      <c r="C100" t="str">
        <f>"9780631229025"</f>
        <v>9780631229025</v>
      </c>
      <c r="D100" t="str">
        <f>"9781444305999"</f>
        <v>9781444305999</v>
      </c>
      <c r="E100" t="s">
        <v>26</v>
      </c>
      <c r="F100" s="1">
        <v>39785</v>
      </c>
      <c r="G100" t="s">
        <v>16</v>
      </c>
      <c r="H100">
        <v>1</v>
      </c>
      <c r="I100" t="s">
        <v>384</v>
      </c>
      <c r="J100" t="s">
        <v>385</v>
      </c>
      <c r="K100" t="s">
        <v>386</v>
      </c>
      <c r="L100">
        <v>417.22</v>
      </c>
      <c r="M100" t="s">
        <v>387</v>
      </c>
      <c r="N100" t="s">
        <v>20</v>
      </c>
    </row>
    <row r="101" spans="1:14">
      <c r="A101">
        <v>437521</v>
      </c>
      <c r="B101" t="s">
        <v>388</v>
      </c>
      <c r="C101" t="str">
        <f>"9781405185103"</f>
        <v>9781405185103</v>
      </c>
      <c r="D101" t="str">
        <f>"9781444310610"</f>
        <v>9781444310610</v>
      </c>
      <c r="E101" t="s">
        <v>26</v>
      </c>
      <c r="F101" s="1">
        <v>39505</v>
      </c>
      <c r="G101" t="s">
        <v>16</v>
      </c>
      <c r="H101">
        <v>1</v>
      </c>
      <c r="I101" t="s">
        <v>88</v>
      </c>
      <c r="J101" t="s">
        <v>389</v>
      </c>
      <c r="K101" t="s">
        <v>18</v>
      </c>
      <c r="L101" t="s">
        <v>390</v>
      </c>
      <c r="M101" t="s">
        <v>391</v>
      </c>
      <c r="N101" t="s">
        <v>20</v>
      </c>
    </row>
    <row r="102" spans="1:14">
      <c r="A102">
        <v>437527</v>
      </c>
      <c r="B102" t="s">
        <v>392</v>
      </c>
      <c r="C102" t="str">
        <f>"9781118344675"</f>
        <v>9781118344675</v>
      </c>
      <c r="D102" t="str">
        <f>"9781444306019"</f>
        <v>9781444306019</v>
      </c>
      <c r="E102" t="s">
        <v>26</v>
      </c>
      <c r="F102" s="1">
        <v>39846</v>
      </c>
      <c r="G102" t="s">
        <v>16</v>
      </c>
      <c r="H102">
        <v>1</v>
      </c>
      <c r="J102" t="s">
        <v>393</v>
      </c>
      <c r="K102" t="s">
        <v>394</v>
      </c>
      <c r="L102" t="s">
        <v>395</v>
      </c>
      <c r="M102" t="s">
        <v>396</v>
      </c>
      <c r="N102" t="s">
        <v>20</v>
      </c>
    </row>
    <row r="103" spans="1:14">
      <c r="A103">
        <v>442890</v>
      </c>
      <c r="B103" t="s">
        <v>397</v>
      </c>
      <c r="C103" t="str">
        <f>"9780521746588"</f>
        <v>9780521746588</v>
      </c>
      <c r="D103" t="str">
        <f>"9780511539480"</f>
        <v>9780511539480</v>
      </c>
      <c r="E103" t="s">
        <v>33</v>
      </c>
      <c r="F103" s="1">
        <v>39961</v>
      </c>
      <c r="G103" t="s">
        <v>16</v>
      </c>
      <c r="I103" t="s">
        <v>398</v>
      </c>
      <c r="J103" t="s">
        <v>399</v>
      </c>
      <c r="K103" t="s">
        <v>400</v>
      </c>
      <c r="L103">
        <v>616.89</v>
      </c>
      <c r="M103" t="s">
        <v>401</v>
      </c>
      <c r="N103" t="s">
        <v>20</v>
      </c>
    </row>
    <row r="104" spans="1:14">
      <c r="A104">
        <v>448457</v>
      </c>
      <c r="B104" t="s">
        <v>402</v>
      </c>
      <c r="C104" t="str">
        <f>"9781412907354"</f>
        <v>9781412907354</v>
      </c>
      <c r="D104" t="str">
        <f>"9781849205405"</f>
        <v>9781849205405</v>
      </c>
      <c r="E104" t="s">
        <v>193</v>
      </c>
      <c r="F104" s="1">
        <v>39552</v>
      </c>
      <c r="G104" t="s">
        <v>16</v>
      </c>
      <c r="H104">
        <v>1</v>
      </c>
      <c r="J104" t="s">
        <v>403</v>
      </c>
      <c r="K104" t="s">
        <v>404</v>
      </c>
      <c r="L104">
        <v>306.48302999999999</v>
      </c>
      <c r="M104" t="s">
        <v>405</v>
      </c>
      <c r="N104" t="s">
        <v>20</v>
      </c>
    </row>
    <row r="105" spans="1:14">
      <c r="A105">
        <v>448877</v>
      </c>
      <c r="B105" t="s">
        <v>406</v>
      </c>
      <c r="C105" t="str">
        <f>"9780787965679"</f>
        <v>9780787965679</v>
      </c>
      <c r="D105" t="str">
        <f>"9780470563564"</f>
        <v>9780470563564</v>
      </c>
      <c r="E105" t="s">
        <v>26</v>
      </c>
      <c r="F105" s="1">
        <v>39847</v>
      </c>
      <c r="G105" t="s">
        <v>16</v>
      </c>
      <c r="H105">
        <v>2</v>
      </c>
      <c r="J105" t="s">
        <v>407</v>
      </c>
      <c r="K105" t="s">
        <v>408</v>
      </c>
      <c r="L105">
        <v>378.12509729999999</v>
      </c>
      <c r="M105" t="s">
        <v>409</v>
      </c>
      <c r="N105" t="s">
        <v>20</v>
      </c>
    </row>
    <row r="106" spans="1:14">
      <c r="A106">
        <v>448906</v>
      </c>
      <c r="B106" t="s">
        <v>410</v>
      </c>
      <c r="C106" t="str">
        <f>"9780470471951"</f>
        <v>9780470471951</v>
      </c>
      <c r="D106" t="str">
        <f>"9780470486962"</f>
        <v>9780470486962</v>
      </c>
      <c r="E106" t="s">
        <v>26</v>
      </c>
      <c r="F106" s="1">
        <v>39973</v>
      </c>
      <c r="G106" t="s">
        <v>16</v>
      </c>
      <c r="H106">
        <v>1</v>
      </c>
      <c r="J106" t="s">
        <v>411</v>
      </c>
      <c r="K106" t="s">
        <v>39</v>
      </c>
      <c r="L106">
        <v>519.20000000000005</v>
      </c>
      <c r="M106" t="s">
        <v>412</v>
      </c>
      <c r="N106" t="s">
        <v>20</v>
      </c>
    </row>
    <row r="107" spans="1:14">
      <c r="A107">
        <v>448938</v>
      </c>
      <c r="B107" t="s">
        <v>413</v>
      </c>
      <c r="C107" t="str">
        <f>"9780470293713"</f>
        <v>9780470293713</v>
      </c>
      <c r="D107" t="str">
        <f>"9780470494813"</f>
        <v>9780470494813</v>
      </c>
      <c r="E107" t="s">
        <v>26</v>
      </c>
      <c r="F107" s="1">
        <v>40042</v>
      </c>
      <c r="G107" t="s">
        <v>16</v>
      </c>
      <c r="H107">
        <v>2</v>
      </c>
      <c r="I107" t="s">
        <v>414</v>
      </c>
      <c r="J107" t="s">
        <v>415</v>
      </c>
      <c r="K107" t="s">
        <v>29</v>
      </c>
      <c r="L107" t="s">
        <v>416</v>
      </c>
      <c r="M107" t="s">
        <v>417</v>
      </c>
      <c r="N107" t="s">
        <v>20</v>
      </c>
    </row>
    <row r="108" spans="1:14">
      <c r="A108">
        <v>451903</v>
      </c>
      <c r="B108" t="s">
        <v>418</v>
      </c>
      <c r="C108" t="str">
        <f>"9780521833356"</f>
        <v>9780521833356</v>
      </c>
      <c r="D108" t="str">
        <f>"9780511593697"</f>
        <v>9780511593697</v>
      </c>
      <c r="E108" t="s">
        <v>33</v>
      </c>
      <c r="F108" s="1">
        <v>40038</v>
      </c>
      <c r="G108" t="s">
        <v>16</v>
      </c>
      <c r="J108" t="s">
        <v>419</v>
      </c>
      <c r="K108" t="s">
        <v>386</v>
      </c>
      <c r="L108">
        <v>401.90956999999997</v>
      </c>
      <c r="M108" t="s">
        <v>420</v>
      </c>
      <c r="N108" t="s">
        <v>20</v>
      </c>
    </row>
    <row r="109" spans="1:14">
      <c r="A109">
        <v>451924</v>
      </c>
      <c r="B109" t="s">
        <v>421</v>
      </c>
      <c r="C109" t="str">
        <f>"9780521854030"</f>
        <v>9780521854030</v>
      </c>
      <c r="D109" t="str">
        <f>"9780511593239"</f>
        <v>9780511593239</v>
      </c>
      <c r="E109" t="s">
        <v>33</v>
      </c>
      <c r="F109" s="1">
        <v>40003</v>
      </c>
      <c r="G109" t="s">
        <v>16</v>
      </c>
      <c r="J109" t="s">
        <v>422</v>
      </c>
      <c r="K109" t="s">
        <v>423</v>
      </c>
      <c r="L109">
        <v>530.15</v>
      </c>
      <c r="M109" t="s">
        <v>424</v>
      </c>
      <c r="N109" t="s">
        <v>20</v>
      </c>
    </row>
    <row r="110" spans="1:14">
      <c r="A110">
        <v>451939</v>
      </c>
      <c r="B110" t="s">
        <v>425</v>
      </c>
      <c r="C110" t="str">
        <f>"9780521862189"</f>
        <v>9780521862189</v>
      </c>
      <c r="D110" t="str">
        <f>"9780511592942"</f>
        <v>9780511592942</v>
      </c>
      <c r="E110" t="s">
        <v>33</v>
      </c>
      <c r="F110" s="1">
        <v>40010</v>
      </c>
      <c r="G110" t="s">
        <v>16</v>
      </c>
      <c r="I110" t="s">
        <v>53</v>
      </c>
      <c r="J110" t="s">
        <v>426</v>
      </c>
      <c r="K110" t="s">
        <v>394</v>
      </c>
      <c r="L110">
        <v>155.19999999999999</v>
      </c>
      <c r="M110" t="s">
        <v>427</v>
      </c>
      <c r="N110" t="s">
        <v>20</v>
      </c>
    </row>
    <row r="111" spans="1:14">
      <c r="A111">
        <v>454326</v>
      </c>
      <c r="B111" t="s">
        <v>428</v>
      </c>
      <c r="C111" t="str">
        <f>"9781119972419"</f>
        <v>9781119972419</v>
      </c>
      <c r="D111" t="str">
        <f>"9780470747605"</f>
        <v>9780470747605</v>
      </c>
      <c r="E111" t="s">
        <v>26</v>
      </c>
      <c r="F111" s="1">
        <v>40084</v>
      </c>
      <c r="G111" t="s">
        <v>16</v>
      </c>
      <c r="H111">
        <v>1</v>
      </c>
      <c r="J111" t="s">
        <v>429</v>
      </c>
      <c r="K111" t="s">
        <v>55</v>
      </c>
      <c r="L111" t="s">
        <v>430</v>
      </c>
      <c r="M111" t="s">
        <v>431</v>
      </c>
      <c r="N111" t="s">
        <v>20</v>
      </c>
    </row>
    <row r="112" spans="1:14">
      <c r="A112">
        <v>454334</v>
      </c>
      <c r="B112" t="s">
        <v>432</v>
      </c>
      <c r="C112" t="str">
        <f>"9781405154895"</f>
        <v>9781405154895</v>
      </c>
      <c r="D112" t="str">
        <f>"9781444315790"</f>
        <v>9781444315790</v>
      </c>
      <c r="E112" t="s">
        <v>26</v>
      </c>
      <c r="F112" s="1">
        <v>40021</v>
      </c>
      <c r="G112" t="s">
        <v>16</v>
      </c>
      <c r="H112">
        <v>1</v>
      </c>
      <c r="I112" t="s">
        <v>384</v>
      </c>
      <c r="J112" t="s">
        <v>433</v>
      </c>
      <c r="K112" t="s">
        <v>386</v>
      </c>
      <c r="L112">
        <v>418.00709999999998</v>
      </c>
      <c r="M112" t="s">
        <v>434</v>
      </c>
      <c r="N112" t="s">
        <v>20</v>
      </c>
    </row>
    <row r="113" spans="1:14">
      <c r="A113">
        <v>454389</v>
      </c>
      <c r="B113" t="s">
        <v>435</v>
      </c>
      <c r="C113" t="str">
        <f>"9780865428386"</f>
        <v>9780865428386</v>
      </c>
      <c r="D113" t="str">
        <f>"9781444313246"</f>
        <v>9781444313246</v>
      </c>
      <c r="E113" t="s">
        <v>26</v>
      </c>
      <c r="F113" s="1">
        <v>36041</v>
      </c>
      <c r="G113" t="s">
        <v>16</v>
      </c>
      <c r="H113">
        <v>1</v>
      </c>
      <c r="J113" t="s">
        <v>344</v>
      </c>
      <c r="K113" t="s">
        <v>436</v>
      </c>
      <c r="L113">
        <v>363.70030000000003</v>
      </c>
      <c r="M113" t="s">
        <v>437</v>
      </c>
      <c r="N113" t="s">
        <v>20</v>
      </c>
    </row>
    <row r="114" spans="1:14">
      <c r="A114">
        <v>455881</v>
      </c>
      <c r="B114" t="s">
        <v>438</v>
      </c>
      <c r="C114" t="str">
        <f>"9780470387634"</f>
        <v>9780470387634</v>
      </c>
      <c r="D114" t="str">
        <f>"9780470523308"</f>
        <v>9780470523308</v>
      </c>
      <c r="E114" t="s">
        <v>26</v>
      </c>
      <c r="F114" s="1">
        <v>40042</v>
      </c>
      <c r="G114" t="s">
        <v>16</v>
      </c>
      <c r="H114">
        <v>3</v>
      </c>
      <c r="J114" t="s">
        <v>439</v>
      </c>
      <c r="K114" t="s">
        <v>440</v>
      </c>
      <c r="L114" t="s">
        <v>441</v>
      </c>
      <c r="M114" t="s">
        <v>442</v>
      </c>
      <c r="N114" t="s">
        <v>20</v>
      </c>
    </row>
    <row r="115" spans="1:14">
      <c r="A115">
        <v>456050</v>
      </c>
      <c r="B115" t="s">
        <v>443</v>
      </c>
      <c r="C115" t="str">
        <f>"9781405197205"</f>
        <v>9781405197205</v>
      </c>
      <c r="D115" t="str">
        <f>"9781444315110"</f>
        <v>9781444315110</v>
      </c>
      <c r="E115" t="s">
        <v>26</v>
      </c>
      <c r="F115" s="1">
        <v>40161</v>
      </c>
      <c r="G115" t="s">
        <v>16</v>
      </c>
      <c r="H115">
        <v>1</v>
      </c>
      <c r="I115" t="s">
        <v>228</v>
      </c>
      <c r="J115" t="s">
        <v>444</v>
      </c>
      <c r="K115" t="s">
        <v>445</v>
      </c>
      <c r="L115">
        <v>355.00972999999999</v>
      </c>
      <c r="M115" t="s">
        <v>446</v>
      </c>
      <c r="N115" t="s">
        <v>20</v>
      </c>
    </row>
    <row r="116" spans="1:14">
      <c r="A116">
        <v>461152</v>
      </c>
      <c r="B116" t="s">
        <v>447</v>
      </c>
      <c r="C116" t="str">
        <f>"9780521854702"</f>
        <v>9780521854702</v>
      </c>
      <c r="D116" t="str">
        <f>"9780511632785"</f>
        <v>9780511632785</v>
      </c>
      <c r="E116" t="s">
        <v>33</v>
      </c>
      <c r="F116" s="1">
        <v>40057</v>
      </c>
      <c r="G116" t="s">
        <v>16</v>
      </c>
      <c r="J116" t="s">
        <v>448</v>
      </c>
      <c r="K116" t="s">
        <v>394</v>
      </c>
      <c r="L116">
        <v>150.30000000000001</v>
      </c>
      <c r="M116" t="s">
        <v>394</v>
      </c>
      <c r="N116" t="s">
        <v>20</v>
      </c>
    </row>
    <row r="117" spans="1:14">
      <c r="A117">
        <v>464854</v>
      </c>
      <c r="B117" t="s">
        <v>449</v>
      </c>
      <c r="C117" t="str">
        <f>"9780521735629"</f>
        <v>9780521735629</v>
      </c>
      <c r="D117" t="str">
        <f>"9780511639111"</f>
        <v>9780511639111</v>
      </c>
      <c r="E117" t="s">
        <v>33</v>
      </c>
      <c r="F117" s="1">
        <v>40087</v>
      </c>
      <c r="G117" t="s">
        <v>16</v>
      </c>
      <c r="J117" t="s">
        <v>450</v>
      </c>
      <c r="K117" t="s">
        <v>155</v>
      </c>
      <c r="L117">
        <v>618.178</v>
      </c>
      <c r="M117" t="s">
        <v>451</v>
      </c>
      <c r="N117" t="s">
        <v>20</v>
      </c>
    </row>
    <row r="118" spans="1:14">
      <c r="A118">
        <v>464857</v>
      </c>
      <c r="B118" t="s">
        <v>452</v>
      </c>
      <c r="C118" t="str">
        <f>"9780521721639"</f>
        <v>9780521721639</v>
      </c>
      <c r="D118" t="str">
        <f>"9780511639296"</f>
        <v>9780511639296</v>
      </c>
      <c r="E118" t="s">
        <v>33</v>
      </c>
      <c r="F118" s="1">
        <v>40087</v>
      </c>
      <c r="G118" t="s">
        <v>16</v>
      </c>
      <c r="J118" t="s">
        <v>453</v>
      </c>
      <c r="K118" t="s">
        <v>454</v>
      </c>
      <c r="L118">
        <v>615.10246107299997</v>
      </c>
      <c r="M118" t="s">
        <v>455</v>
      </c>
      <c r="N118" t="s">
        <v>20</v>
      </c>
    </row>
    <row r="119" spans="1:14">
      <c r="A119">
        <v>464894</v>
      </c>
      <c r="B119" t="s">
        <v>456</v>
      </c>
      <c r="C119" t="str">
        <f>"9780521861571"</f>
        <v>9780521861571</v>
      </c>
      <c r="D119" t="str">
        <f>"9780511639173"</f>
        <v>9780511639173</v>
      </c>
      <c r="E119" t="s">
        <v>33</v>
      </c>
      <c r="F119" s="1">
        <v>40087</v>
      </c>
      <c r="G119" t="s">
        <v>16</v>
      </c>
      <c r="I119" t="s">
        <v>106</v>
      </c>
      <c r="J119" t="s">
        <v>457</v>
      </c>
      <c r="K119" t="s">
        <v>18</v>
      </c>
      <c r="L119">
        <v>823.91408999999999</v>
      </c>
      <c r="M119" t="s">
        <v>458</v>
      </c>
      <c r="N119" t="s">
        <v>20</v>
      </c>
    </row>
    <row r="120" spans="1:14">
      <c r="A120">
        <v>464897</v>
      </c>
      <c r="B120" t="s">
        <v>459</v>
      </c>
      <c r="C120" t="str">
        <f>"9780521695251"</f>
        <v>9780521695251</v>
      </c>
      <c r="D120" t="str">
        <f>"9780511639074"</f>
        <v>9780511639074</v>
      </c>
      <c r="E120" t="s">
        <v>33</v>
      </c>
      <c r="F120" s="1">
        <v>40108</v>
      </c>
      <c r="G120" t="s">
        <v>16</v>
      </c>
      <c r="H120">
        <v>2</v>
      </c>
      <c r="J120" t="s">
        <v>460</v>
      </c>
      <c r="K120" t="s">
        <v>461</v>
      </c>
      <c r="L120" t="s">
        <v>462</v>
      </c>
      <c r="M120" t="s">
        <v>463</v>
      </c>
      <c r="N120" t="s">
        <v>20</v>
      </c>
    </row>
    <row r="121" spans="1:14">
      <c r="A121">
        <v>465086</v>
      </c>
      <c r="B121" t="s">
        <v>464</v>
      </c>
      <c r="C121" t="str">
        <f>"9781412902076"</f>
        <v>9781412902076</v>
      </c>
      <c r="D121" t="str">
        <f>"9781849208291"</f>
        <v>9781849208291</v>
      </c>
      <c r="E121" t="s">
        <v>193</v>
      </c>
      <c r="F121" s="1">
        <v>39604</v>
      </c>
      <c r="G121" t="s">
        <v>16</v>
      </c>
      <c r="H121">
        <v>1</v>
      </c>
      <c r="J121" t="s">
        <v>465</v>
      </c>
      <c r="K121" t="s">
        <v>55</v>
      </c>
      <c r="L121">
        <v>307.76</v>
      </c>
      <c r="M121" t="s">
        <v>466</v>
      </c>
      <c r="N121" t="s">
        <v>20</v>
      </c>
    </row>
    <row r="122" spans="1:14">
      <c r="A122">
        <v>467559</v>
      </c>
      <c r="B122" t="s">
        <v>467</v>
      </c>
      <c r="C122" t="str">
        <f>"9789004149489"</f>
        <v>9789004149489</v>
      </c>
      <c r="D122" t="str">
        <f>"9789047423775"</f>
        <v>9789047423775</v>
      </c>
      <c r="E122" t="s">
        <v>468</v>
      </c>
      <c r="F122" s="1">
        <v>40501</v>
      </c>
      <c r="G122" t="s">
        <v>16</v>
      </c>
      <c r="H122">
        <v>1</v>
      </c>
      <c r="I122" t="s">
        <v>469</v>
      </c>
      <c r="J122" t="s">
        <v>470</v>
      </c>
      <c r="K122" t="s">
        <v>94</v>
      </c>
      <c r="L122">
        <v>297.12252100000001</v>
      </c>
      <c r="M122" t="s">
        <v>471</v>
      </c>
      <c r="N122" t="s">
        <v>20</v>
      </c>
    </row>
    <row r="123" spans="1:14">
      <c r="A123">
        <v>467612</v>
      </c>
      <c r="B123" t="s">
        <v>472</v>
      </c>
      <c r="C123" t="str">
        <f>"9789004148239"</f>
        <v>9789004148239</v>
      </c>
      <c r="D123" t="str">
        <f>"9789047420811"</f>
        <v>9789047420811</v>
      </c>
      <c r="E123" t="s">
        <v>468</v>
      </c>
      <c r="F123" s="1">
        <v>39255</v>
      </c>
      <c r="G123" t="s">
        <v>16</v>
      </c>
      <c r="H123">
        <v>1</v>
      </c>
      <c r="J123" t="s">
        <v>473</v>
      </c>
      <c r="K123" t="s">
        <v>474</v>
      </c>
      <c r="L123">
        <v>16.21</v>
      </c>
      <c r="M123" t="s">
        <v>475</v>
      </c>
      <c r="N123" t="s">
        <v>20</v>
      </c>
    </row>
    <row r="124" spans="1:14">
      <c r="A124">
        <v>467675</v>
      </c>
      <c r="B124" t="s">
        <v>476</v>
      </c>
      <c r="C124" t="str">
        <f>"9789004145986"</f>
        <v>9789004145986</v>
      </c>
      <c r="D124" t="str">
        <f>"9789047423607"</f>
        <v>9789047423607</v>
      </c>
      <c r="E124" t="s">
        <v>468</v>
      </c>
      <c r="F124" s="1">
        <v>39433</v>
      </c>
      <c r="G124" t="s">
        <v>16</v>
      </c>
      <c r="H124">
        <v>1</v>
      </c>
      <c r="I124" t="s">
        <v>477</v>
      </c>
      <c r="J124" t="s">
        <v>478</v>
      </c>
      <c r="K124" t="s">
        <v>479</v>
      </c>
      <c r="L124">
        <v>335.4</v>
      </c>
      <c r="M124" t="s">
        <v>480</v>
      </c>
      <c r="N124" t="s">
        <v>20</v>
      </c>
    </row>
    <row r="125" spans="1:14">
      <c r="A125">
        <v>467882</v>
      </c>
      <c r="B125" t="s">
        <v>481</v>
      </c>
      <c r="C125" t="str">
        <f>"9789004152816"</f>
        <v>9789004152816</v>
      </c>
      <c r="D125" t="str">
        <f>"9789047410492"</f>
        <v>9789047410492</v>
      </c>
      <c r="E125" t="s">
        <v>468</v>
      </c>
      <c r="F125" s="1">
        <v>39079</v>
      </c>
      <c r="G125" t="s">
        <v>16</v>
      </c>
      <c r="H125">
        <v>1</v>
      </c>
      <c r="I125" t="s">
        <v>469</v>
      </c>
      <c r="J125" t="s">
        <v>482</v>
      </c>
      <c r="K125" t="s">
        <v>386</v>
      </c>
      <c r="L125">
        <v>491.99799999999999</v>
      </c>
      <c r="M125" t="s">
        <v>483</v>
      </c>
      <c r="N125" t="s">
        <v>20</v>
      </c>
    </row>
    <row r="126" spans="1:14">
      <c r="A126">
        <v>468490</v>
      </c>
      <c r="B126" t="s">
        <v>484</v>
      </c>
      <c r="C126" t="str">
        <f>"9789004165847"</f>
        <v>9789004165847</v>
      </c>
      <c r="D126" t="str">
        <f>"9789047431756"</f>
        <v>9789047431756</v>
      </c>
      <c r="E126" t="s">
        <v>468</v>
      </c>
      <c r="F126" s="1">
        <v>39689</v>
      </c>
      <c r="G126" t="s">
        <v>16</v>
      </c>
      <c r="H126">
        <v>1</v>
      </c>
      <c r="J126" t="s">
        <v>485</v>
      </c>
      <c r="K126" t="s">
        <v>269</v>
      </c>
      <c r="L126">
        <v>341.48</v>
      </c>
      <c r="M126" t="s">
        <v>486</v>
      </c>
      <c r="N126" t="s">
        <v>20</v>
      </c>
    </row>
    <row r="127" spans="1:14">
      <c r="A127">
        <v>468608</v>
      </c>
      <c r="B127" t="s">
        <v>487</v>
      </c>
      <c r="C127" t="str">
        <f>"9780470373682"</f>
        <v>9780470373682</v>
      </c>
      <c r="D127" t="str">
        <f>"9780470605424"</f>
        <v>9780470605424</v>
      </c>
      <c r="E127" t="s">
        <v>26</v>
      </c>
      <c r="F127" s="1">
        <v>40078</v>
      </c>
      <c r="G127" t="s">
        <v>16</v>
      </c>
      <c r="H127">
        <v>1</v>
      </c>
      <c r="J127" t="s">
        <v>488</v>
      </c>
      <c r="K127" t="s">
        <v>408</v>
      </c>
      <c r="L127" t="s">
        <v>489</v>
      </c>
      <c r="M127" t="s">
        <v>490</v>
      </c>
      <c r="N127" t="s">
        <v>20</v>
      </c>
    </row>
    <row r="128" spans="1:14">
      <c r="A128">
        <v>468768</v>
      </c>
      <c r="B128" t="s">
        <v>491</v>
      </c>
      <c r="C128" t="str">
        <f>"9780470190883"</f>
        <v>9780470190883</v>
      </c>
      <c r="D128" t="str">
        <f>"9780470449165"</f>
        <v>9780470449165</v>
      </c>
      <c r="E128" t="s">
        <v>492</v>
      </c>
      <c r="F128" s="1">
        <v>39923</v>
      </c>
      <c r="G128" t="s">
        <v>16</v>
      </c>
      <c r="H128">
        <v>1</v>
      </c>
      <c r="J128" t="s">
        <v>493</v>
      </c>
      <c r="K128" t="s">
        <v>394</v>
      </c>
      <c r="L128">
        <v>152.4</v>
      </c>
      <c r="M128" t="s">
        <v>494</v>
      </c>
      <c r="N128" t="s">
        <v>20</v>
      </c>
    </row>
    <row r="129" spans="1:14">
      <c r="A129">
        <v>469266</v>
      </c>
      <c r="B129" t="s">
        <v>495</v>
      </c>
      <c r="C129" t="str">
        <f>"9780470373736"</f>
        <v>9780470373736</v>
      </c>
      <c r="D129" t="str">
        <f>"9780470605455"</f>
        <v>9780470605455</v>
      </c>
      <c r="E129" t="s">
        <v>26</v>
      </c>
      <c r="F129" s="1">
        <v>40168</v>
      </c>
      <c r="G129" t="s">
        <v>16</v>
      </c>
      <c r="H129">
        <v>1</v>
      </c>
      <c r="J129" t="s">
        <v>496</v>
      </c>
      <c r="K129" t="s">
        <v>408</v>
      </c>
      <c r="L129" t="s">
        <v>497</v>
      </c>
      <c r="M129" t="s">
        <v>498</v>
      </c>
      <c r="N129" t="s">
        <v>20</v>
      </c>
    </row>
    <row r="130" spans="1:14">
      <c r="A130">
        <v>469605</v>
      </c>
      <c r="B130" t="s">
        <v>499</v>
      </c>
      <c r="C130" t="str">
        <f>"9780470323175"</f>
        <v>9780470323175</v>
      </c>
      <c r="D130" t="str">
        <f>"9780470466889"</f>
        <v>9780470466889</v>
      </c>
      <c r="E130" t="s">
        <v>26</v>
      </c>
      <c r="F130" s="1">
        <v>39881</v>
      </c>
      <c r="G130" t="s">
        <v>16</v>
      </c>
      <c r="H130">
        <v>1</v>
      </c>
      <c r="I130" t="s">
        <v>500</v>
      </c>
      <c r="J130" t="s">
        <v>501</v>
      </c>
      <c r="K130" t="s">
        <v>502</v>
      </c>
      <c r="L130" t="s">
        <v>503</v>
      </c>
      <c r="M130" t="s">
        <v>504</v>
      </c>
      <c r="N130" t="s">
        <v>20</v>
      </c>
    </row>
    <row r="131" spans="1:14">
      <c r="A131">
        <v>470111</v>
      </c>
      <c r="B131" t="s">
        <v>505</v>
      </c>
      <c r="C131" t="str">
        <f>"9781444309898"</f>
        <v>9781444309898</v>
      </c>
      <c r="D131" t="str">
        <f>"9781444309904"</f>
        <v>9781444309904</v>
      </c>
      <c r="E131" t="s">
        <v>26</v>
      </c>
      <c r="F131" s="1">
        <v>40126</v>
      </c>
      <c r="G131" t="s">
        <v>16</v>
      </c>
      <c r="H131">
        <v>1</v>
      </c>
      <c r="J131" t="s">
        <v>506</v>
      </c>
      <c r="K131" t="s">
        <v>507</v>
      </c>
      <c r="L131">
        <v>800</v>
      </c>
      <c r="M131" t="s">
        <v>508</v>
      </c>
      <c r="N131" t="s">
        <v>20</v>
      </c>
    </row>
    <row r="132" spans="1:14">
      <c r="A132">
        <v>470171</v>
      </c>
      <c r="B132" t="s">
        <v>509</v>
      </c>
      <c r="C132" t="str">
        <f>"9780470682357"</f>
        <v>9780470682357</v>
      </c>
      <c r="D132" t="str">
        <f>"9780470682395"</f>
        <v>9780470682395</v>
      </c>
      <c r="E132" t="s">
        <v>26</v>
      </c>
      <c r="F132" s="1">
        <v>40164</v>
      </c>
      <c r="G132" t="s">
        <v>16</v>
      </c>
      <c r="H132">
        <v>3</v>
      </c>
      <c r="J132" t="s">
        <v>510</v>
      </c>
      <c r="K132" t="s">
        <v>511</v>
      </c>
      <c r="L132">
        <v>158.69999999999999</v>
      </c>
      <c r="M132" t="s">
        <v>512</v>
      </c>
      <c r="N132" t="s">
        <v>20</v>
      </c>
    </row>
    <row r="133" spans="1:14">
      <c r="A133">
        <v>470451</v>
      </c>
      <c r="B133" t="s">
        <v>513</v>
      </c>
      <c r="C133" t="str">
        <f>"9781118492147"</f>
        <v>9781118492147</v>
      </c>
      <c r="D133" t="str">
        <f>"9780470695715"</f>
        <v>9780470695715</v>
      </c>
      <c r="E133" t="s">
        <v>26</v>
      </c>
      <c r="F133" s="1">
        <v>39566</v>
      </c>
      <c r="G133" t="s">
        <v>16</v>
      </c>
      <c r="H133">
        <v>1</v>
      </c>
      <c r="I133" t="s">
        <v>302</v>
      </c>
      <c r="J133" t="s">
        <v>514</v>
      </c>
      <c r="K133" t="s">
        <v>18</v>
      </c>
      <c r="L133" t="s">
        <v>515</v>
      </c>
      <c r="M133" t="s">
        <v>516</v>
      </c>
      <c r="N133" t="s">
        <v>20</v>
      </c>
    </row>
    <row r="134" spans="1:14">
      <c r="A134">
        <v>471786</v>
      </c>
      <c r="B134" t="s">
        <v>517</v>
      </c>
      <c r="C134" t="str">
        <f>"9780226475394"</f>
        <v>9780226475394</v>
      </c>
      <c r="D134" t="str">
        <f>"9780226756110"</f>
        <v>9780226756110</v>
      </c>
      <c r="E134" t="s">
        <v>518</v>
      </c>
      <c r="F134" s="1">
        <v>40071</v>
      </c>
      <c r="G134" t="s">
        <v>16</v>
      </c>
      <c r="J134" t="s">
        <v>519</v>
      </c>
      <c r="K134" t="s">
        <v>55</v>
      </c>
      <c r="L134" t="s">
        <v>520</v>
      </c>
      <c r="M134" t="s">
        <v>521</v>
      </c>
      <c r="N134" t="s">
        <v>20</v>
      </c>
    </row>
    <row r="135" spans="1:14">
      <c r="A135">
        <v>471976</v>
      </c>
      <c r="B135" t="s">
        <v>522</v>
      </c>
      <c r="C135" t="str">
        <f>"9780521899055"</f>
        <v>9780521899055</v>
      </c>
      <c r="D135" t="str">
        <f>"9780511656705"</f>
        <v>9780511656705</v>
      </c>
      <c r="E135" t="s">
        <v>33</v>
      </c>
      <c r="F135" s="1">
        <v>40116</v>
      </c>
      <c r="G135" t="s">
        <v>16</v>
      </c>
      <c r="J135" t="s">
        <v>523</v>
      </c>
      <c r="K135" t="s">
        <v>269</v>
      </c>
      <c r="L135">
        <v>340.1</v>
      </c>
      <c r="M135" t="s">
        <v>524</v>
      </c>
      <c r="N135" t="s">
        <v>20</v>
      </c>
    </row>
    <row r="136" spans="1:14">
      <c r="A136">
        <v>471981</v>
      </c>
      <c r="B136" t="s">
        <v>525</v>
      </c>
      <c r="C136" t="str">
        <f>"9780521491945"</f>
        <v>9780521491945</v>
      </c>
      <c r="D136" t="str">
        <f>"9780511656644"</f>
        <v>9780511656644</v>
      </c>
      <c r="E136" t="s">
        <v>33</v>
      </c>
      <c r="F136" s="1">
        <v>40133</v>
      </c>
      <c r="G136" t="s">
        <v>16</v>
      </c>
      <c r="H136">
        <v>2</v>
      </c>
      <c r="J136" t="s">
        <v>526</v>
      </c>
      <c r="K136" t="s">
        <v>527</v>
      </c>
      <c r="L136">
        <v>362.2</v>
      </c>
      <c r="M136" t="s">
        <v>528</v>
      </c>
      <c r="N136" t="s">
        <v>20</v>
      </c>
    </row>
    <row r="137" spans="1:14">
      <c r="A137">
        <v>474853</v>
      </c>
      <c r="B137" t="s">
        <v>529</v>
      </c>
      <c r="C137" t="str">
        <f>"9780230235502"</f>
        <v>9780230235502</v>
      </c>
      <c r="D137" t="str">
        <f>"9780230251076"</f>
        <v>9780230251076</v>
      </c>
      <c r="E137" t="s">
        <v>145</v>
      </c>
      <c r="F137" s="1">
        <v>40095</v>
      </c>
      <c r="G137" t="s">
        <v>16</v>
      </c>
      <c r="J137" t="s">
        <v>530</v>
      </c>
      <c r="K137" t="s">
        <v>29</v>
      </c>
      <c r="L137" t="s">
        <v>531</v>
      </c>
      <c r="M137" t="s">
        <v>532</v>
      </c>
      <c r="N137" t="s">
        <v>20</v>
      </c>
    </row>
    <row r="138" spans="1:14">
      <c r="A138">
        <v>477852</v>
      </c>
      <c r="B138" t="s">
        <v>533</v>
      </c>
      <c r="C138" t="str">
        <f>"9781405139007"</f>
        <v>9781405139007</v>
      </c>
      <c r="D138" t="str">
        <f>"9781444315097"</f>
        <v>9781444315097</v>
      </c>
      <c r="E138" t="s">
        <v>26</v>
      </c>
      <c r="F138" s="1">
        <v>40224</v>
      </c>
      <c r="G138" t="s">
        <v>16</v>
      </c>
      <c r="H138">
        <v>2</v>
      </c>
      <c r="I138" t="s">
        <v>141</v>
      </c>
      <c r="J138" t="s">
        <v>534</v>
      </c>
      <c r="K138" t="s">
        <v>138</v>
      </c>
      <c r="L138">
        <v>121</v>
      </c>
      <c r="M138" t="s">
        <v>535</v>
      </c>
      <c r="N138" t="s">
        <v>20</v>
      </c>
    </row>
    <row r="139" spans="1:14">
      <c r="A139">
        <v>477882</v>
      </c>
      <c r="B139" t="s">
        <v>536</v>
      </c>
      <c r="C139" t="str">
        <f>"9781444318111"</f>
        <v>9781444318111</v>
      </c>
      <c r="D139" t="str">
        <f>"9781118808641"</f>
        <v>9781118808641</v>
      </c>
      <c r="E139" t="s">
        <v>26</v>
      </c>
      <c r="F139" s="1">
        <v>40231</v>
      </c>
      <c r="G139" t="s">
        <v>16</v>
      </c>
      <c r="H139">
        <v>1</v>
      </c>
      <c r="J139" t="s">
        <v>537</v>
      </c>
      <c r="K139" t="s">
        <v>394</v>
      </c>
      <c r="L139">
        <v>155.19999999999999</v>
      </c>
      <c r="M139" t="s">
        <v>538</v>
      </c>
      <c r="N139" t="s">
        <v>20</v>
      </c>
    </row>
    <row r="140" spans="1:14">
      <c r="A140">
        <v>480377</v>
      </c>
      <c r="B140" t="s">
        <v>539</v>
      </c>
      <c r="C140" t="str">
        <f>"9781905356430"</f>
        <v>9781905356430</v>
      </c>
      <c r="D140" t="str">
        <f>"9781905356447"</f>
        <v>9781905356447</v>
      </c>
      <c r="E140" t="s">
        <v>540</v>
      </c>
      <c r="F140" s="1">
        <v>39133</v>
      </c>
      <c r="G140" t="s">
        <v>16</v>
      </c>
      <c r="H140">
        <v>1</v>
      </c>
      <c r="J140" t="s">
        <v>541</v>
      </c>
      <c r="K140" t="s">
        <v>29</v>
      </c>
      <c r="L140">
        <v>658.47799999999995</v>
      </c>
      <c r="M140" t="s">
        <v>542</v>
      </c>
      <c r="N140" t="s">
        <v>20</v>
      </c>
    </row>
    <row r="141" spans="1:14">
      <c r="A141">
        <v>480428</v>
      </c>
      <c r="B141" t="s">
        <v>543</v>
      </c>
      <c r="C141" t="str">
        <f>"9781405163576"</f>
        <v>9781405163576</v>
      </c>
      <c r="D141" t="str">
        <f>"9781444320169"</f>
        <v>9781444320169</v>
      </c>
      <c r="E141" t="s">
        <v>26</v>
      </c>
      <c r="F141" s="1">
        <v>40280</v>
      </c>
      <c r="G141" t="s">
        <v>16</v>
      </c>
      <c r="H141">
        <v>2</v>
      </c>
      <c r="I141" t="s">
        <v>141</v>
      </c>
      <c r="J141" t="s">
        <v>544</v>
      </c>
      <c r="K141" t="s">
        <v>94</v>
      </c>
      <c r="L141">
        <v>210</v>
      </c>
      <c r="M141" t="s">
        <v>545</v>
      </c>
      <c r="N141" t="s">
        <v>20</v>
      </c>
    </row>
    <row r="142" spans="1:14">
      <c r="A142">
        <v>480446</v>
      </c>
      <c r="B142" t="s">
        <v>546</v>
      </c>
      <c r="C142" t="str">
        <f>"9781405167659"</f>
        <v>9781405167659</v>
      </c>
      <c r="D142" t="str">
        <f>"9781444317923"</f>
        <v>9781444317923</v>
      </c>
      <c r="E142" t="s">
        <v>26</v>
      </c>
      <c r="F142" s="1">
        <v>40252</v>
      </c>
      <c r="G142" t="s">
        <v>16</v>
      </c>
      <c r="H142">
        <v>1</v>
      </c>
      <c r="I142" t="s">
        <v>302</v>
      </c>
      <c r="J142" t="s">
        <v>547</v>
      </c>
      <c r="K142" t="s">
        <v>18</v>
      </c>
      <c r="L142">
        <v>809.38720000000001</v>
      </c>
      <c r="M142" t="s">
        <v>548</v>
      </c>
      <c r="N142" t="s">
        <v>20</v>
      </c>
    </row>
    <row r="143" spans="1:14">
      <c r="A143">
        <v>480452</v>
      </c>
      <c r="B143" t="s">
        <v>549</v>
      </c>
      <c r="C143" t="str">
        <f>"9781405192156"</f>
        <v>9781405192156</v>
      </c>
      <c r="D143" t="str">
        <f>"9781444317985"</f>
        <v>9781444317985</v>
      </c>
      <c r="E143" t="s">
        <v>26</v>
      </c>
      <c r="F143" s="1">
        <v>40266</v>
      </c>
      <c r="G143" t="s">
        <v>16</v>
      </c>
      <c r="H143">
        <v>1</v>
      </c>
      <c r="I143" t="s">
        <v>550</v>
      </c>
      <c r="J143" t="s">
        <v>551</v>
      </c>
      <c r="K143" t="s">
        <v>552</v>
      </c>
      <c r="L143">
        <v>333.33800000000002</v>
      </c>
      <c r="M143" t="s">
        <v>553</v>
      </c>
      <c r="N143" t="s">
        <v>20</v>
      </c>
    </row>
    <row r="144" spans="1:14">
      <c r="A144">
        <v>480455</v>
      </c>
      <c r="B144" t="s">
        <v>554</v>
      </c>
      <c r="C144" t="str">
        <f>"9781405184816"</f>
        <v>9781405184816</v>
      </c>
      <c r="D144" t="str">
        <f>"9781444318944"</f>
        <v>9781444318944</v>
      </c>
      <c r="E144" t="s">
        <v>26</v>
      </c>
      <c r="F144" s="1">
        <v>39504</v>
      </c>
      <c r="G144" t="s">
        <v>16</v>
      </c>
      <c r="H144">
        <v>1</v>
      </c>
      <c r="I144" t="s">
        <v>555</v>
      </c>
      <c r="J144" t="s">
        <v>556</v>
      </c>
      <c r="K144" t="s">
        <v>94</v>
      </c>
      <c r="L144">
        <v>225.6</v>
      </c>
      <c r="M144" t="s">
        <v>557</v>
      </c>
      <c r="N144" t="s">
        <v>20</v>
      </c>
    </row>
    <row r="145" spans="1:14">
      <c r="A145">
        <v>480460</v>
      </c>
      <c r="B145" t="s">
        <v>558</v>
      </c>
      <c r="C145" t="str">
        <f>"9781405154772"</f>
        <v>9781405154772</v>
      </c>
      <c r="D145" t="str">
        <f>"9781444317220"</f>
        <v>9781444317220</v>
      </c>
      <c r="E145" t="s">
        <v>26</v>
      </c>
      <c r="F145" s="1">
        <v>40245</v>
      </c>
      <c r="G145" t="s">
        <v>16</v>
      </c>
      <c r="H145">
        <v>1</v>
      </c>
      <c r="I145" t="s">
        <v>302</v>
      </c>
      <c r="J145" t="s">
        <v>559</v>
      </c>
      <c r="K145" t="s">
        <v>18</v>
      </c>
      <c r="L145">
        <v>820.90020000000004</v>
      </c>
      <c r="M145" t="s">
        <v>560</v>
      </c>
      <c r="N145" t="s">
        <v>20</v>
      </c>
    </row>
    <row r="146" spans="1:14">
      <c r="A146">
        <v>480482</v>
      </c>
      <c r="B146" t="s">
        <v>561</v>
      </c>
      <c r="C146" t="str">
        <f>"9781405146913"</f>
        <v>9781405146913</v>
      </c>
      <c r="D146" t="str">
        <f>"9781444310115"</f>
        <v>9781444310115</v>
      </c>
      <c r="E146" t="s">
        <v>26</v>
      </c>
      <c r="F146" s="1">
        <v>40126</v>
      </c>
      <c r="G146" t="s">
        <v>16</v>
      </c>
      <c r="H146">
        <v>1</v>
      </c>
      <c r="I146" t="s">
        <v>302</v>
      </c>
      <c r="J146" t="s">
        <v>562</v>
      </c>
      <c r="K146" t="s">
        <v>18</v>
      </c>
      <c r="L146">
        <v>813.50900000000001</v>
      </c>
      <c r="M146" t="s">
        <v>563</v>
      </c>
      <c r="N146" t="s">
        <v>20</v>
      </c>
    </row>
    <row r="147" spans="1:14">
      <c r="A147">
        <v>483306</v>
      </c>
      <c r="B147" t="s">
        <v>564</v>
      </c>
      <c r="C147" t="str">
        <f>"9781412947046"</f>
        <v>9781412947046</v>
      </c>
      <c r="D147" t="str">
        <f>"9780857023124"</f>
        <v>9780857023124</v>
      </c>
      <c r="E147" t="s">
        <v>193</v>
      </c>
      <c r="F147" s="1">
        <v>39786</v>
      </c>
      <c r="G147" t="s">
        <v>16</v>
      </c>
      <c r="H147">
        <v>1</v>
      </c>
      <c r="J147" t="s">
        <v>565</v>
      </c>
      <c r="K147" t="s">
        <v>566</v>
      </c>
      <c r="L147">
        <v>333.7</v>
      </c>
      <c r="M147" t="s">
        <v>567</v>
      </c>
      <c r="N147" t="s">
        <v>20</v>
      </c>
    </row>
    <row r="148" spans="1:14">
      <c r="A148">
        <v>485195</v>
      </c>
      <c r="B148" t="s">
        <v>568</v>
      </c>
      <c r="C148" t="str">
        <f>"9781615353217"</f>
        <v>9781615353217</v>
      </c>
      <c r="D148" t="str">
        <f>"9781615353637"</f>
        <v>9781615353637</v>
      </c>
      <c r="E148" t="s">
        <v>273</v>
      </c>
      <c r="F148" s="1">
        <v>40179</v>
      </c>
      <c r="G148" t="s">
        <v>16</v>
      </c>
      <c r="H148">
        <v>1</v>
      </c>
      <c r="I148" t="s">
        <v>569</v>
      </c>
      <c r="J148" t="s">
        <v>570</v>
      </c>
      <c r="K148" t="s">
        <v>275</v>
      </c>
      <c r="L148">
        <v>32</v>
      </c>
      <c r="M148" t="s">
        <v>571</v>
      </c>
      <c r="N148" t="s">
        <v>20</v>
      </c>
    </row>
    <row r="149" spans="1:14">
      <c r="A149">
        <v>485290</v>
      </c>
      <c r="B149" t="s">
        <v>572</v>
      </c>
      <c r="C149" t="str">
        <f>"9780230532601"</f>
        <v>9780230532601</v>
      </c>
      <c r="D149" t="str">
        <f>"9780230274686"</f>
        <v>9780230274686</v>
      </c>
      <c r="E149" t="s">
        <v>145</v>
      </c>
      <c r="F149" s="1">
        <v>39920</v>
      </c>
      <c r="G149" t="s">
        <v>16</v>
      </c>
      <c r="J149" t="s">
        <v>573</v>
      </c>
      <c r="K149" t="s">
        <v>55</v>
      </c>
      <c r="L149">
        <v>305.23</v>
      </c>
      <c r="M149" t="s">
        <v>574</v>
      </c>
      <c r="N149" t="s">
        <v>20</v>
      </c>
    </row>
    <row r="150" spans="1:14">
      <c r="A150">
        <v>485668</v>
      </c>
      <c r="B150" t="s">
        <v>575</v>
      </c>
      <c r="C150" t="str">
        <f>"9781405155403"</f>
        <v>9781405155403</v>
      </c>
      <c r="D150" t="str">
        <f>"9781444319194"</f>
        <v>9781444319194</v>
      </c>
      <c r="E150" t="s">
        <v>26</v>
      </c>
      <c r="F150" s="1">
        <v>40266</v>
      </c>
      <c r="G150" t="s">
        <v>16</v>
      </c>
      <c r="H150">
        <v>1</v>
      </c>
      <c r="I150" t="s">
        <v>88</v>
      </c>
      <c r="J150" t="s">
        <v>576</v>
      </c>
      <c r="K150" t="s">
        <v>577</v>
      </c>
      <c r="L150" t="s">
        <v>390</v>
      </c>
      <c r="M150" t="s">
        <v>578</v>
      </c>
      <c r="N150" t="s">
        <v>20</v>
      </c>
    </row>
    <row r="151" spans="1:14">
      <c r="A151">
        <v>485674</v>
      </c>
      <c r="B151" t="s">
        <v>579</v>
      </c>
      <c r="C151" t="str">
        <f>"9781405126540"</f>
        <v>9781405126540</v>
      </c>
      <c r="D151" t="str">
        <f>"9781444320022"</f>
        <v>9781444320022</v>
      </c>
      <c r="E151" t="s">
        <v>26</v>
      </c>
      <c r="F151" s="1">
        <v>40294</v>
      </c>
      <c r="G151" t="s">
        <v>16</v>
      </c>
      <c r="H151">
        <v>1</v>
      </c>
      <c r="I151" t="s">
        <v>88</v>
      </c>
      <c r="J151" t="s">
        <v>580</v>
      </c>
      <c r="K151" t="s">
        <v>50</v>
      </c>
      <c r="L151" t="s">
        <v>581</v>
      </c>
      <c r="M151" t="s">
        <v>582</v>
      </c>
      <c r="N151" t="s">
        <v>20</v>
      </c>
    </row>
    <row r="152" spans="1:14">
      <c r="A152">
        <v>487665</v>
      </c>
      <c r="B152" t="s">
        <v>583</v>
      </c>
      <c r="C152" t="str">
        <f>"9780470407011"</f>
        <v>9780470407011</v>
      </c>
      <c r="D152" t="str">
        <f>"9780470639573"</f>
        <v>9780470639573</v>
      </c>
      <c r="E152" t="s">
        <v>26</v>
      </c>
      <c r="F152" s="1">
        <v>40221</v>
      </c>
      <c r="G152" t="s">
        <v>16</v>
      </c>
      <c r="H152">
        <v>1</v>
      </c>
      <c r="J152" t="s">
        <v>584</v>
      </c>
      <c r="K152" t="s">
        <v>408</v>
      </c>
      <c r="L152" t="s">
        <v>585</v>
      </c>
      <c r="M152" t="s">
        <v>586</v>
      </c>
      <c r="N152" t="s">
        <v>20</v>
      </c>
    </row>
    <row r="153" spans="1:14">
      <c r="A153">
        <v>487727</v>
      </c>
      <c r="B153" t="s">
        <v>587</v>
      </c>
      <c r="C153" t="str">
        <f>"9781405115438"</f>
        <v>9781405115438</v>
      </c>
      <c r="D153" t="str">
        <f>"9781444319927"</f>
        <v>9781444319927</v>
      </c>
      <c r="E153" t="s">
        <v>26</v>
      </c>
      <c r="F153" s="1">
        <v>40252</v>
      </c>
      <c r="G153" t="s">
        <v>16</v>
      </c>
      <c r="H153">
        <v>1</v>
      </c>
      <c r="I153" t="s">
        <v>302</v>
      </c>
      <c r="J153" t="s">
        <v>588</v>
      </c>
      <c r="K153" t="s">
        <v>18</v>
      </c>
      <c r="L153" t="s">
        <v>589</v>
      </c>
      <c r="M153" t="s">
        <v>590</v>
      </c>
      <c r="N153" t="s">
        <v>20</v>
      </c>
    </row>
    <row r="154" spans="1:14">
      <c r="A154">
        <v>487736</v>
      </c>
      <c r="B154" t="s">
        <v>591</v>
      </c>
      <c r="C154" t="str">
        <f>"9781405187626"</f>
        <v>9781405187626</v>
      </c>
      <c r="D154" t="str">
        <f>"9781444319026"</f>
        <v>9781444319026</v>
      </c>
      <c r="E154" t="s">
        <v>26</v>
      </c>
      <c r="F154" s="1">
        <v>40308</v>
      </c>
      <c r="G154" t="s">
        <v>16</v>
      </c>
      <c r="H154">
        <v>1</v>
      </c>
      <c r="I154" t="s">
        <v>302</v>
      </c>
      <c r="J154" t="s">
        <v>592</v>
      </c>
      <c r="K154" t="s">
        <v>18</v>
      </c>
      <c r="L154">
        <v>820.90030000000002</v>
      </c>
      <c r="M154" t="s">
        <v>593</v>
      </c>
      <c r="N154" t="s">
        <v>20</v>
      </c>
    </row>
    <row r="155" spans="1:14">
      <c r="A155">
        <v>487738</v>
      </c>
      <c r="B155" t="s">
        <v>594</v>
      </c>
      <c r="C155" t="str">
        <f>"9780631208921"</f>
        <v>9780631208921</v>
      </c>
      <c r="D155" t="str">
        <f>"9781444320633"</f>
        <v>9781444320633</v>
      </c>
      <c r="E155" t="s">
        <v>26</v>
      </c>
      <c r="F155" s="1">
        <v>40280</v>
      </c>
      <c r="G155" t="s">
        <v>16</v>
      </c>
      <c r="H155">
        <v>1</v>
      </c>
      <c r="I155" t="s">
        <v>302</v>
      </c>
      <c r="J155" t="s">
        <v>595</v>
      </c>
      <c r="K155" t="s">
        <v>18</v>
      </c>
      <c r="L155">
        <v>810.9</v>
      </c>
      <c r="M155" t="s">
        <v>596</v>
      </c>
      <c r="N155" t="s">
        <v>20</v>
      </c>
    </row>
    <row r="156" spans="1:14">
      <c r="A156">
        <v>487740</v>
      </c>
      <c r="B156" t="s">
        <v>597</v>
      </c>
      <c r="C156" t="str">
        <f>"9781405109246"</f>
        <v>9781405109246</v>
      </c>
      <c r="D156" t="str">
        <f>"9781444319088"</f>
        <v>9781444319088</v>
      </c>
      <c r="E156" t="s">
        <v>26</v>
      </c>
      <c r="F156" s="1">
        <v>40308</v>
      </c>
      <c r="G156" t="s">
        <v>16</v>
      </c>
      <c r="H156">
        <v>1</v>
      </c>
      <c r="I156" t="s">
        <v>169</v>
      </c>
      <c r="J156" t="s">
        <v>598</v>
      </c>
      <c r="K156" t="s">
        <v>50</v>
      </c>
      <c r="L156">
        <v>973</v>
      </c>
      <c r="M156" t="s">
        <v>599</v>
      </c>
      <c r="N156" t="s">
        <v>20</v>
      </c>
    </row>
    <row r="157" spans="1:14">
      <c r="A157">
        <v>492612</v>
      </c>
      <c r="B157" t="s">
        <v>600</v>
      </c>
      <c r="C157" t="str">
        <f>"9781615353415"</f>
        <v>9781615353415</v>
      </c>
      <c r="D157" t="str">
        <f>"9781615353408"</f>
        <v>9781615353408</v>
      </c>
      <c r="E157" t="s">
        <v>273</v>
      </c>
      <c r="F157" s="1">
        <v>40179</v>
      </c>
      <c r="G157" t="s">
        <v>16</v>
      </c>
      <c r="H157">
        <v>1</v>
      </c>
      <c r="I157" t="s">
        <v>601</v>
      </c>
      <c r="J157" t="s">
        <v>602</v>
      </c>
      <c r="K157" t="s">
        <v>603</v>
      </c>
      <c r="L157">
        <v>577</v>
      </c>
      <c r="M157" t="s">
        <v>604</v>
      </c>
      <c r="N157" t="s">
        <v>20</v>
      </c>
    </row>
    <row r="158" spans="1:14">
      <c r="A158">
        <v>492613</v>
      </c>
      <c r="B158" t="s">
        <v>605</v>
      </c>
      <c r="C158" t="str">
        <f>"9781615353439"</f>
        <v>9781615353439</v>
      </c>
      <c r="D158" t="str">
        <f>"9781615353422"</f>
        <v>9781615353422</v>
      </c>
      <c r="E158" t="s">
        <v>273</v>
      </c>
      <c r="F158" s="1">
        <v>40179</v>
      </c>
      <c r="G158" t="s">
        <v>16</v>
      </c>
      <c r="H158">
        <v>1</v>
      </c>
      <c r="I158" t="s">
        <v>601</v>
      </c>
      <c r="J158" t="s">
        <v>602</v>
      </c>
      <c r="K158" t="s">
        <v>345</v>
      </c>
      <c r="L158">
        <v>333</v>
      </c>
      <c r="M158" t="s">
        <v>606</v>
      </c>
      <c r="N158" t="s">
        <v>20</v>
      </c>
    </row>
    <row r="159" spans="1:14">
      <c r="A159">
        <v>495971</v>
      </c>
      <c r="B159" t="s">
        <v>607</v>
      </c>
      <c r="C159" t="str">
        <f>"9780470566633"</f>
        <v>9780470566633</v>
      </c>
      <c r="D159" t="str">
        <f>"9780470599723"</f>
        <v>9780470599723</v>
      </c>
      <c r="E159" t="s">
        <v>26</v>
      </c>
      <c r="F159" s="1">
        <v>40245</v>
      </c>
      <c r="G159" t="s">
        <v>16</v>
      </c>
      <c r="H159">
        <v>1</v>
      </c>
      <c r="I159" t="s">
        <v>608</v>
      </c>
      <c r="J159" t="s">
        <v>609</v>
      </c>
      <c r="K159" t="s">
        <v>408</v>
      </c>
      <c r="L159" t="s">
        <v>610</v>
      </c>
      <c r="M159" t="s">
        <v>611</v>
      </c>
      <c r="N159" t="s">
        <v>20</v>
      </c>
    </row>
    <row r="160" spans="1:14">
      <c r="A160">
        <v>496012</v>
      </c>
      <c r="B160" t="s">
        <v>612</v>
      </c>
      <c r="C160" t="str">
        <f>"9781118269237"</f>
        <v>9781118269237</v>
      </c>
      <c r="D160" t="str">
        <f>"9780470582565"</f>
        <v>9780470582565</v>
      </c>
      <c r="E160" t="s">
        <v>26</v>
      </c>
      <c r="F160" s="1">
        <v>40266</v>
      </c>
      <c r="G160" t="s">
        <v>16</v>
      </c>
      <c r="H160">
        <v>1</v>
      </c>
      <c r="I160" t="s">
        <v>375</v>
      </c>
      <c r="J160" t="s">
        <v>613</v>
      </c>
      <c r="K160" t="s">
        <v>55</v>
      </c>
      <c r="L160">
        <v>301</v>
      </c>
      <c r="M160" t="s">
        <v>614</v>
      </c>
      <c r="N160" t="s">
        <v>20</v>
      </c>
    </row>
    <row r="161" spans="1:14">
      <c r="A161">
        <v>496057</v>
      </c>
      <c r="B161" t="s">
        <v>615</v>
      </c>
      <c r="C161" t="str">
        <f>"9781118571873"</f>
        <v>9781118571873</v>
      </c>
      <c r="D161" t="str">
        <f>"9781444323559"</f>
        <v>9781444323559</v>
      </c>
      <c r="E161" t="s">
        <v>26</v>
      </c>
      <c r="F161" s="1">
        <v>40315</v>
      </c>
      <c r="G161" t="s">
        <v>16</v>
      </c>
      <c r="H161">
        <v>1</v>
      </c>
      <c r="J161" t="s">
        <v>616</v>
      </c>
      <c r="K161" t="s">
        <v>394</v>
      </c>
      <c r="L161" t="s">
        <v>617</v>
      </c>
      <c r="M161" t="s">
        <v>618</v>
      </c>
      <c r="N161" t="s">
        <v>20</v>
      </c>
    </row>
    <row r="162" spans="1:14">
      <c r="A162">
        <v>496064</v>
      </c>
      <c r="B162" t="s">
        <v>619</v>
      </c>
      <c r="C162" t="str">
        <f>"9781118346327"</f>
        <v>9781118346327</v>
      </c>
      <c r="D162" t="str">
        <f>"9781444323535"</f>
        <v>9781444323535</v>
      </c>
      <c r="E162" t="s">
        <v>26</v>
      </c>
      <c r="F162" s="1">
        <v>40322</v>
      </c>
      <c r="G162" t="s">
        <v>16</v>
      </c>
      <c r="H162">
        <v>1</v>
      </c>
      <c r="I162" t="s">
        <v>141</v>
      </c>
      <c r="J162" t="s">
        <v>620</v>
      </c>
      <c r="K162" t="s">
        <v>138</v>
      </c>
      <c r="L162" t="s">
        <v>621</v>
      </c>
      <c r="M162" t="s">
        <v>622</v>
      </c>
      <c r="N162" t="s">
        <v>20</v>
      </c>
    </row>
    <row r="163" spans="1:14">
      <c r="A163">
        <v>496079</v>
      </c>
      <c r="B163" t="s">
        <v>623</v>
      </c>
      <c r="C163" t="str">
        <f>"9781405197489"</f>
        <v>9781405197489</v>
      </c>
      <c r="D163" t="str">
        <f>"9781444320794"</f>
        <v>9781444320794</v>
      </c>
      <c r="E163" t="s">
        <v>26</v>
      </c>
      <c r="F163" s="1">
        <v>40308</v>
      </c>
      <c r="G163" t="s">
        <v>16</v>
      </c>
      <c r="H163">
        <v>1</v>
      </c>
      <c r="I163" t="s">
        <v>312</v>
      </c>
      <c r="J163" t="s">
        <v>624</v>
      </c>
      <c r="K163" t="s">
        <v>625</v>
      </c>
      <c r="L163">
        <v>306.60000000000002</v>
      </c>
      <c r="M163" t="s">
        <v>626</v>
      </c>
      <c r="N163" t="s">
        <v>20</v>
      </c>
    </row>
    <row r="164" spans="1:14">
      <c r="A164">
        <v>501313</v>
      </c>
      <c r="B164" t="s">
        <v>627</v>
      </c>
      <c r="C164" t="str">
        <f>"9780521865647"</f>
        <v>9780521865647</v>
      </c>
      <c r="D164" t="str">
        <f>"9780511681967"</f>
        <v>9780511681967</v>
      </c>
      <c r="E164" t="s">
        <v>33</v>
      </c>
      <c r="F164" s="1">
        <v>40283</v>
      </c>
      <c r="G164" t="s">
        <v>16</v>
      </c>
      <c r="J164" t="s">
        <v>628</v>
      </c>
      <c r="K164" t="s">
        <v>155</v>
      </c>
      <c r="L164">
        <v>618.3261</v>
      </c>
      <c r="M164" t="s">
        <v>629</v>
      </c>
      <c r="N164" t="s">
        <v>20</v>
      </c>
    </row>
    <row r="165" spans="1:14">
      <c r="A165">
        <v>502458</v>
      </c>
      <c r="B165" t="s">
        <v>630</v>
      </c>
      <c r="C165" t="str">
        <f>"9780521514880"</f>
        <v>9780521514880</v>
      </c>
      <c r="D165" t="str">
        <f>"9780511714887"</f>
        <v>9780511714887</v>
      </c>
      <c r="E165" t="s">
        <v>33</v>
      </c>
      <c r="F165" s="1">
        <v>40297</v>
      </c>
      <c r="G165" t="s">
        <v>16</v>
      </c>
      <c r="J165" t="s">
        <v>631</v>
      </c>
      <c r="K165" t="s">
        <v>632</v>
      </c>
      <c r="L165">
        <v>362.10719999999998</v>
      </c>
      <c r="M165" t="s">
        <v>633</v>
      </c>
      <c r="N165" t="s">
        <v>20</v>
      </c>
    </row>
    <row r="166" spans="1:14">
      <c r="A166">
        <v>502493</v>
      </c>
      <c r="B166" t="s">
        <v>634</v>
      </c>
      <c r="C166" t="str">
        <f>"9780521116411"</f>
        <v>9780521116411</v>
      </c>
      <c r="D166" t="str">
        <f>"9780511692628"</f>
        <v>9780511692628</v>
      </c>
      <c r="E166" t="s">
        <v>33</v>
      </c>
      <c r="F166" s="1">
        <v>40147</v>
      </c>
      <c r="G166" t="s">
        <v>16</v>
      </c>
      <c r="J166" t="s">
        <v>635</v>
      </c>
      <c r="K166" t="s">
        <v>269</v>
      </c>
      <c r="L166">
        <v>343.73052319999999</v>
      </c>
      <c r="M166" t="s">
        <v>636</v>
      </c>
      <c r="N166" t="s">
        <v>20</v>
      </c>
    </row>
    <row r="167" spans="1:14">
      <c r="A167">
        <v>502533</v>
      </c>
      <c r="B167" t="s">
        <v>637</v>
      </c>
      <c r="C167" t="str">
        <f>"9780521199629"</f>
        <v>9780521199629</v>
      </c>
      <c r="D167" t="str">
        <f>"9780511681134"</f>
        <v>9780511681134</v>
      </c>
      <c r="E167" t="s">
        <v>33</v>
      </c>
      <c r="F167" s="1">
        <v>40199</v>
      </c>
      <c r="G167" t="s">
        <v>16</v>
      </c>
      <c r="J167" t="s">
        <v>638</v>
      </c>
      <c r="K167" t="s">
        <v>138</v>
      </c>
      <c r="L167">
        <v>170.92</v>
      </c>
      <c r="M167" t="s">
        <v>639</v>
      </c>
      <c r="N167" t="s">
        <v>20</v>
      </c>
    </row>
    <row r="168" spans="1:14">
      <c r="A168">
        <v>510243</v>
      </c>
      <c r="B168" t="s">
        <v>640</v>
      </c>
      <c r="C168" t="str">
        <f>"9780786443109"</f>
        <v>9780786443109</v>
      </c>
      <c r="D168" t="str">
        <f>"9780786455591"</f>
        <v>9780786455591</v>
      </c>
      <c r="E168" t="s">
        <v>641</v>
      </c>
      <c r="F168" s="1">
        <v>40240</v>
      </c>
      <c r="G168" t="s">
        <v>16</v>
      </c>
      <c r="I168" t="s">
        <v>642</v>
      </c>
      <c r="J168" t="s">
        <v>643</v>
      </c>
      <c r="K168" t="s">
        <v>18</v>
      </c>
      <c r="L168" t="s">
        <v>644</v>
      </c>
      <c r="M168" t="s">
        <v>645</v>
      </c>
      <c r="N168" t="s">
        <v>20</v>
      </c>
    </row>
    <row r="169" spans="1:14">
      <c r="A169">
        <v>510248</v>
      </c>
      <c r="B169" t="s">
        <v>646</v>
      </c>
      <c r="C169" t="str">
        <f>"9780786444052"</f>
        <v>9780786444052</v>
      </c>
      <c r="D169" t="str">
        <f>"9780786457403"</f>
        <v>9780786457403</v>
      </c>
      <c r="E169" t="s">
        <v>641</v>
      </c>
      <c r="F169" s="1">
        <v>40270</v>
      </c>
      <c r="G169" t="s">
        <v>16</v>
      </c>
      <c r="J169" t="s">
        <v>647</v>
      </c>
      <c r="K169" t="s">
        <v>648</v>
      </c>
      <c r="L169">
        <v>791.03</v>
      </c>
      <c r="M169" t="s">
        <v>649</v>
      </c>
      <c r="N169" t="s">
        <v>20</v>
      </c>
    </row>
    <row r="170" spans="1:14">
      <c r="A170">
        <v>510251</v>
      </c>
      <c r="B170" t="s">
        <v>650</v>
      </c>
      <c r="C170" t="str">
        <f>"9780786448517"</f>
        <v>9780786448517</v>
      </c>
      <c r="D170" t="str">
        <f>"9780786456758"</f>
        <v>9780786456758</v>
      </c>
      <c r="E170" t="s">
        <v>641</v>
      </c>
      <c r="F170" s="1">
        <v>40513</v>
      </c>
      <c r="G170" t="s">
        <v>16</v>
      </c>
      <c r="J170" t="s">
        <v>651</v>
      </c>
      <c r="K170" t="s">
        <v>94</v>
      </c>
      <c r="L170">
        <v>202.37029999999999</v>
      </c>
      <c r="M170" t="s">
        <v>652</v>
      </c>
      <c r="N170" t="s">
        <v>20</v>
      </c>
    </row>
    <row r="171" spans="1:14">
      <c r="A171">
        <v>514326</v>
      </c>
      <c r="B171" t="s">
        <v>653</v>
      </c>
      <c r="C171" t="str">
        <f>"9780470551684"</f>
        <v>9780470551684</v>
      </c>
      <c r="D171" t="str">
        <f>"9780470618776"</f>
        <v>9780470618776</v>
      </c>
      <c r="E171" t="s">
        <v>26</v>
      </c>
      <c r="F171" s="1">
        <v>40294</v>
      </c>
      <c r="G171" t="s">
        <v>16</v>
      </c>
      <c r="H171">
        <v>2</v>
      </c>
      <c r="I171" t="s">
        <v>608</v>
      </c>
      <c r="J171" t="s">
        <v>654</v>
      </c>
      <c r="K171" t="s">
        <v>655</v>
      </c>
      <c r="L171" t="s">
        <v>656</v>
      </c>
      <c r="M171" t="s">
        <v>657</v>
      </c>
      <c r="N171" t="s">
        <v>20</v>
      </c>
    </row>
    <row r="172" spans="1:14">
      <c r="A172">
        <v>514382</v>
      </c>
      <c r="B172" t="s">
        <v>658</v>
      </c>
      <c r="C172" t="str">
        <f>"9780470551745"</f>
        <v>9780470551745</v>
      </c>
      <c r="D172" t="str">
        <f>"9780470634462"</f>
        <v>9780470634462</v>
      </c>
      <c r="E172" t="s">
        <v>26</v>
      </c>
      <c r="F172" s="1">
        <v>40301</v>
      </c>
      <c r="G172" t="s">
        <v>16</v>
      </c>
      <c r="H172">
        <v>2</v>
      </c>
      <c r="I172" t="s">
        <v>659</v>
      </c>
      <c r="J172" t="s">
        <v>660</v>
      </c>
      <c r="K172" t="s">
        <v>661</v>
      </c>
      <c r="L172">
        <v>576.5</v>
      </c>
      <c r="M172" t="s">
        <v>662</v>
      </c>
      <c r="N172" t="s">
        <v>20</v>
      </c>
    </row>
    <row r="173" spans="1:14">
      <c r="A173">
        <v>514449</v>
      </c>
      <c r="B173" t="s">
        <v>663</v>
      </c>
      <c r="C173" t="str">
        <f>"9781405169363"</f>
        <v>9781405169363</v>
      </c>
      <c r="D173" t="str">
        <f>"9781444324099"</f>
        <v>9781444324099</v>
      </c>
      <c r="E173" t="s">
        <v>26</v>
      </c>
      <c r="F173" s="1">
        <v>40308</v>
      </c>
      <c r="G173" t="s">
        <v>16</v>
      </c>
      <c r="H173">
        <v>1</v>
      </c>
      <c r="I173" t="s">
        <v>555</v>
      </c>
      <c r="J173" t="s">
        <v>664</v>
      </c>
      <c r="K173" t="s">
        <v>94</v>
      </c>
      <c r="L173">
        <v>200.97300000000001</v>
      </c>
      <c r="M173" t="s">
        <v>665</v>
      </c>
      <c r="N173" t="s">
        <v>20</v>
      </c>
    </row>
    <row r="174" spans="1:14">
      <c r="A174">
        <v>514458</v>
      </c>
      <c r="B174" t="s">
        <v>666</v>
      </c>
      <c r="C174" t="str">
        <f>"9781405189002"</f>
        <v>9781405189002</v>
      </c>
      <c r="D174" t="str">
        <f>"9781444320046"</f>
        <v>9781444320046</v>
      </c>
      <c r="E174" t="s">
        <v>26</v>
      </c>
      <c r="F174" s="1">
        <v>40294</v>
      </c>
      <c r="G174" t="s">
        <v>16</v>
      </c>
      <c r="H174">
        <v>1</v>
      </c>
      <c r="I174" t="s">
        <v>667</v>
      </c>
      <c r="J174" t="s">
        <v>668</v>
      </c>
      <c r="K174" t="s">
        <v>669</v>
      </c>
      <c r="L174">
        <v>573</v>
      </c>
      <c r="M174" t="s">
        <v>670</v>
      </c>
      <c r="N174" t="s">
        <v>20</v>
      </c>
    </row>
    <row r="175" spans="1:14">
      <c r="A175">
        <v>515872</v>
      </c>
      <c r="B175" t="s">
        <v>671</v>
      </c>
      <c r="C175" t="str">
        <f>"9780521878098"</f>
        <v>9780521878098</v>
      </c>
      <c r="D175" t="str">
        <f>"9780511726385"</f>
        <v>9780511726385</v>
      </c>
      <c r="E175" t="s">
        <v>33</v>
      </c>
      <c r="F175" s="1">
        <v>40297</v>
      </c>
      <c r="G175" t="s">
        <v>16</v>
      </c>
      <c r="I175" t="s">
        <v>53</v>
      </c>
      <c r="J175" t="s">
        <v>672</v>
      </c>
      <c r="K175" t="s">
        <v>673</v>
      </c>
      <c r="L175">
        <v>614.15</v>
      </c>
      <c r="M175" t="s">
        <v>674</v>
      </c>
      <c r="N175" t="s">
        <v>20</v>
      </c>
    </row>
    <row r="176" spans="1:14">
      <c r="A176">
        <v>516946</v>
      </c>
      <c r="B176" t="s">
        <v>675</v>
      </c>
      <c r="C176" t="str">
        <f>"9780470637517"</f>
        <v>9780470637517</v>
      </c>
      <c r="D176" t="str">
        <f>"9780470649077"</f>
        <v>9780470649077</v>
      </c>
      <c r="E176" t="s">
        <v>26</v>
      </c>
      <c r="F176" s="1">
        <v>40315</v>
      </c>
      <c r="G176" t="s">
        <v>16</v>
      </c>
      <c r="H176">
        <v>1</v>
      </c>
      <c r="I176" t="s">
        <v>375</v>
      </c>
      <c r="J176" t="s">
        <v>676</v>
      </c>
      <c r="K176" t="s">
        <v>386</v>
      </c>
      <c r="L176">
        <v>468.24209999999999</v>
      </c>
      <c r="M176" t="s">
        <v>677</v>
      </c>
      <c r="N176" t="s">
        <v>20</v>
      </c>
    </row>
    <row r="177" spans="1:14">
      <c r="A177">
        <v>516965</v>
      </c>
      <c r="B177" t="s">
        <v>678</v>
      </c>
      <c r="C177" t="str">
        <f>"9781118438817"</f>
        <v>9781118438817</v>
      </c>
      <c r="D177" t="str">
        <f>"9781444323467"</f>
        <v>9781444323467</v>
      </c>
      <c r="E177" t="s">
        <v>26</v>
      </c>
      <c r="F177" s="1">
        <v>40308</v>
      </c>
      <c r="G177" t="s">
        <v>16</v>
      </c>
      <c r="H177">
        <v>2</v>
      </c>
      <c r="J177" t="s">
        <v>679</v>
      </c>
      <c r="K177" t="s">
        <v>55</v>
      </c>
      <c r="L177">
        <v>306.02999999999997</v>
      </c>
      <c r="M177" t="s">
        <v>680</v>
      </c>
      <c r="N177" t="s">
        <v>20</v>
      </c>
    </row>
    <row r="178" spans="1:14">
      <c r="A178">
        <v>529946</v>
      </c>
      <c r="B178" t="s">
        <v>681</v>
      </c>
      <c r="C178" t="str">
        <f>"9780470381762"</f>
        <v>9780470381762</v>
      </c>
      <c r="D178" t="str">
        <f>"9780470610657"</f>
        <v>9780470610657</v>
      </c>
      <c r="E178" t="s">
        <v>26</v>
      </c>
      <c r="F178" s="1">
        <v>40322</v>
      </c>
      <c r="G178" t="s">
        <v>16</v>
      </c>
      <c r="H178">
        <v>1</v>
      </c>
      <c r="J178" t="s">
        <v>682</v>
      </c>
      <c r="K178" t="s">
        <v>408</v>
      </c>
      <c r="L178" t="s">
        <v>683</v>
      </c>
      <c r="M178" t="s">
        <v>684</v>
      </c>
      <c r="N178" t="s">
        <v>20</v>
      </c>
    </row>
    <row r="179" spans="1:14">
      <c r="A179">
        <v>529959</v>
      </c>
      <c r="B179" t="s">
        <v>685</v>
      </c>
      <c r="C179" t="str">
        <f>"9780787996802"</f>
        <v>9780787996802</v>
      </c>
      <c r="D179" t="str">
        <f>"9780470876022"</f>
        <v>9780470876022</v>
      </c>
      <c r="E179" t="s">
        <v>26</v>
      </c>
      <c r="F179" s="1">
        <v>40021</v>
      </c>
      <c r="G179" t="s">
        <v>16</v>
      </c>
      <c r="H179">
        <v>2</v>
      </c>
      <c r="J179" t="s">
        <v>686</v>
      </c>
      <c r="K179" t="s">
        <v>408</v>
      </c>
      <c r="L179">
        <v>371.2</v>
      </c>
      <c r="M179" t="s">
        <v>687</v>
      </c>
      <c r="N179" t="s">
        <v>20</v>
      </c>
    </row>
    <row r="180" spans="1:14">
      <c r="A180">
        <v>533954</v>
      </c>
      <c r="B180" t="s">
        <v>688</v>
      </c>
      <c r="C180" t="str">
        <f>"9780470601747"</f>
        <v>9780470601747</v>
      </c>
      <c r="D180" t="str">
        <f>"9780470649107"</f>
        <v>9780470649107</v>
      </c>
      <c r="E180" t="s">
        <v>26</v>
      </c>
      <c r="F180" s="1">
        <v>40330</v>
      </c>
      <c r="G180" t="s">
        <v>16</v>
      </c>
      <c r="H180">
        <v>1</v>
      </c>
      <c r="J180" t="s">
        <v>689</v>
      </c>
      <c r="K180" t="s">
        <v>29</v>
      </c>
      <c r="L180">
        <v>650.1</v>
      </c>
      <c r="M180" t="s">
        <v>690</v>
      </c>
      <c r="N180" t="s">
        <v>20</v>
      </c>
    </row>
    <row r="181" spans="1:14">
      <c r="A181">
        <v>534716</v>
      </c>
      <c r="B181" t="s">
        <v>691</v>
      </c>
      <c r="C181" t="str">
        <f>"9780521720571"</f>
        <v>9780521720571</v>
      </c>
      <c r="D181" t="str">
        <f>"9780511743184"</f>
        <v>9780511743184</v>
      </c>
      <c r="E181" t="s">
        <v>33</v>
      </c>
      <c r="F181" s="1">
        <v>40255</v>
      </c>
      <c r="G181" t="s">
        <v>16</v>
      </c>
      <c r="I181" t="s">
        <v>365</v>
      </c>
      <c r="J181" t="s">
        <v>692</v>
      </c>
      <c r="K181" t="s">
        <v>155</v>
      </c>
      <c r="L181">
        <v>616.84910000000002</v>
      </c>
      <c r="M181" t="s">
        <v>693</v>
      </c>
      <c r="N181" t="s">
        <v>20</v>
      </c>
    </row>
    <row r="182" spans="1:14">
      <c r="A182">
        <v>534750</v>
      </c>
      <c r="B182" t="s">
        <v>694</v>
      </c>
      <c r="C182" t="str">
        <f>"9780521886130"</f>
        <v>9780521886130</v>
      </c>
      <c r="D182" t="str">
        <f>"9780511743641"</f>
        <v>9780511743641</v>
      </c>
      <c r="E182" t="s">
        <v>33</v>
      </c>
      <c r="F182" s="1">
        <v>40311</v>
      </c>
      <c r="G182" t="s">
        <v>16</v>
      </c>
      <c r="I182" t="s">
        <v>695</v>
      </c>
      <c r="J182" t="s">
        <v>696</v>
      </c>
      <c r="K182" t="s">
        <v>138</v>
      </c>
      <c r="L182">
        <v>192</v>
      </c>
      <c r="M182" t="s">
        <v>697</v>
      </c>
      <c r="N182" t="s">
        <v>20</v>
      </c>
    </row>
    <row r="183" spans="1:14">
      <c r="A183">
        <v>534756</v>
      </c>
      <c r="B183" t="s">
        <v>698</v>
      </c>
      <c r="C183" t="str">
        <f>"9780521772464"</f>
        <v>9780521772464</v>
      </c>
      <c r="D183" t="str">
        <f>"9780511743221"</f>
        <v>9780511743221</v>
      </c>
      <c r="E183" t="s">
        <v>33</v>
      </c>
      <c r="F183" s="1">
        <v>40241</v>
      </c>
      <c r="G183" t="s">
        <v>16</v>
      </c>
      <c r="I183" t="s">
        <v>699</v>
      </c>
      <c r="J183" t="s">
        <v>700</v>
      </c>
      <c r="K183" t="s">
        <v>138</v>
      </c>
      <c r="L183">
        <v>170</v>
      </c>
      <c r="M183" t="s">
        <v>701</v>
      </c>
      <c r="N183" t="s">
        <v>20</v>
      </c>
    </row>
    <row r="184" spans="1:14">
      <c r="A184">
        <v>535445</v>
      </c>
      <c r="B184" t="s">
        <v>702</v>
      </c>
      <c r="C184" t="str">
        <f>"9780195369250"</f>
        <v>9780195369250</v>
      </c>
      <c r="D184" t="str">
        <f>"9780199708994"</f>
        <v>9780199708994</v>
      </c>
      <c r="E184" t="s">
        <v>703</v>
      </c>
      <c r="F184" s="1">
        <v>40149</v>
      </c>
      <c r="G184" t="s">
        <v>16</v>
      </c>
      <c r="H184">
        <v>2</v>
      </c>
      <c r="J184" t="s">
        <v>704</v>
      </c>
      <c r="K184" t="s">
        <v>151</v>
      </c>
      <c r="L184" t="s">
        <v>705</v>
      </c>
      <c r="M184" t="s">
        <v>706</v>
      </c>
      <c r="N184" t="s">
        <v>20</v>
      </c>
    </row>
    <row r="185" spans="1:14">
      <c r="A185">
        <v>537279</v>
      </c>
      <c r="B185" t="s">
        <v>707</v>
      </c>
      <c r="C185" t="str">
        <f>"9781849280419"</f>
        <v>9781849280419</v>
      </c>
      <c r="D185" t="str">
        <f>"9781849280426"</f>
        <v>9781849280426</v>
      </c>
      <c r="E185" t="s">
        <v>708</v>
      </c>
      <c r="F185" s="1">
        <v>40267</v>
      </c>
      <c r="G185" t="s">
        <v>16</v>
      </c>
      <c r="H185">
        <v>2</v>
      </c>
      <c r="J185" t="s">
        <v>709</v>
      </c>
      <c r="K185" t="s">
        <v>710</v>
      </c>
      <c r="L185">
        <v>5.8</v>
      </c>
      <c r="M185" t="s">
        <v>711</v>
      </c>
      <c r="N185" t="s">
        <v>20</v>
      </c>
    </row>
    <row r="186" spans="1:14">
      <c r="A186">
        <v>537566</v>
      </c>
      <c r="B186" t="s">
        <v>712</v>
      </c>
      <c r="C186" t="str">
        <f>"9780786442263"</f>
        <v>9780786442263</v>
      </c>
      <c r="D186" t="str">
        <f>"9780786457571"</f>
        <v>9780786457571</v>
      </c>
      <c r="E186" t="s">
        <v>641</v>
      </c>
      <c r="F186" s="1">
        <v>40513</v>
      </c>
      <c r="G186" t="s">
        <v>16</v>
      </c>
      <c r="J186" t="s">
        <v>713</v>
      </c>
      <c r="K186" t="s">
        <v>309</v>
      </c>
      <c r="L186">
        <v>796.03</v>
      </c>
      <c r="M186" t="s">
        <v>714</v>
      </c>
      <c r="N186" t="s">
        <v>20</v>
      </c>
    </row>
    <row r="187" spans="1:14">
      <c r="A187">
        <v>540083</v>
      </c>
      <c r="B187" t="s">
        <v>715</v>
      </c>
      <c r="C187" t="str">
        <f>"9781576603246"</f>
        <v>9781576603246</v>
      </c>
      <c r="D187" t="str">
        <f>"9780470883396"</f>
        <v>9780470883396</v>
      </c>
      <c r="E187" t="s">
        <v>26</v>
      </c>
      <c r="F187" s="1">
        <v>39827</v>
      </c>
      <c r="G187" t="s">
        <v>16</v>
      </c>
      <c r="H187">
        <v>2</v>
      </c>
      <c r="I187" t="s">
        <v>716</v>
      </c>
      <c r="J187" t="s">
        <v>717</v>
      </c>
      <c r="K187" t="s">
        <v>269</v>
      </c>
      <c r="L187" t="s">
        <v>718</v>
      </c>
      <c r="M187" t="s">
        <v>719</v>
      </c>
      <c r="N187" t="s">
        <v>20</v>
      </c>
    </row>
    <row r="188" spans="1:14">
      <c r="A188">
        <v>542759</v>
      </c>
      <c r="B188" t="s">
        <v>720</v>
      </c>
      <c r="C188" t="str">
        <f>"9780521873437"</f>
        <v>9780521873437</v>
      </c>
      <c r="D188" t="str">
        <f>"9780511774065"</f>
        <v>9780511774065</v>
      </c>
      <c r="E188" t="s">
        <v>33</v>
      </c>
      <c r="F188" s="1">
        <v>40360</v>
      </c>
      <c r="G188" t="s">
        <v>16</v>
      </c>
      <c r="J188" t="s">
        <v>721</v>
      </c>
      <c r="K188" t="s">
        <v>155</v>
      </c>
      <c r="L188">
        <v>616.39</v>
      </c>
      <c r="M188" t="s">
        <v>722</v>
      </c>
      <c r="N188" t="s">
        <v>20</v>
      </c>
    </row>
    <row r="189" spans="1:14">
      <c r="A189">
        <v>542826</v>
      </c>
      <c r="B189" t="s">
        <v>723</v>
      </c>
      <c r="C189" t="str">
        <f>"9780521518055"</f>
        <v>9780521518055</v>
      </c>
      <c r="D189" t="str">
        <f>"9780511767142"</f>
        <v>9780511767142</v>
      </c>
      <c r="E189" t="s">
        <v>33</v>
      </c>
      <c r="F189" s="1">
        <v>40290</v>
      </c>
      <c r="G189" t="s">
        <v>16</v>
      </c>
      <c r="H189">
        <v>2</v>
      </c>
      <c r="J189" t="s">
        <v>724</v>
      </c>
      <c r="K189" t="s">
        <v>725</v>
      </c>
      <c r="L189">
        <v>571.32000000000005</v>
      </c>
      <c r="M189" t="s">
        <v>726</v>
      </c>
      <c r="N189" t="s">
        <v>20</v>
      </c>
    </row>
    <row r="190" spans="1:14">
      <c r="A190">
        <v>542863</v>
      </c>
      <c r="B190" t="s">
        <v>727</v>
      </c>
      <c r="C190" t="str">
        <f>"9780521675369"</f>
        <v>9780521675369</v>
      </c>
      <c r="D190" t="str">
        <f>"9780511773921"</f>
        <v>9780511773921</v>
      </c>
      <c r="E190" t="s">
        <v>33</v>
      </c>
      <c r="F190" s="1">
        <v>40360</v>
      </c>
      <c r="G190" t="s">
        <v>16</v>
      </c>
      <c r="J190" t="s">
        <v>728</v>
      </c>
      <c r="K190" t="s">
        <v>155</v>
      </c>
      <c r="L190">
        <v>618.32000000000005</v>
      </c>
      <c r="M190" t="s">
        <v>729</v>
      </c>
      <c r="N190" t="s">
        <v>20</v>
      </c>
    </row>
    <row r="191" spans="1:14">
      <c r="A191">
        <v>542870</v>
      </c>
      <c r="B191" t="s">
        <v>730</v>
      </c>
      <c r="C191" t="str">
        <f>"9780521690850"</f>
        <v>9780521690850</v>
      </c>
      <c r="D191" t="str">
        <f>"9780511766749"</f>
        <v>9780511766749</v>
      </c>
      <c r="E191" t="s">
        <v>33</v>
      </c>
      <c r="F191" s="1">
        <v>40118</v>
      </c>
      <c r="G191" t="s">
        <v>16</v>
      </c>
      <c r="J191" t="s">
        <v>731</v>
      </c>
      <c r="K191" t="s">
        <v>732</v>
      </c>
      <c r="L191">
        <v>362.42</v>
      </c>
      <c r="M191" t="s">
        <v>733</v>
      </c>
      <c r="N191" t="s">
        <v>20</v>
      </c>
    </row>
    <row r="192" spans="1:14">
      <c r="A192">
        <v>543027</v>
      </c>
      <c r="B192" t="s">
        <v>734</v>
      </c>
      <c r="C192" t="str">
        <f>"9780786444526"</f>
        <v>9780786444526</v>
      </c>
      <c r="D192" t="str">
        <f>"9780786455812"</f>
        <v>9780786455812</v>
      </c>
      <c r="E192" t="s">
        <v>641</v>
      </c>
      <c r="F192" s="1">
        <v>40374</v>
      </c>
      <c r="G192" t="s">
        <v>16</v>
      </c>
      <c r="J192" t="s">
        <v>735</v>
      </c>
      <c r="K192" t="s">
        <v>55</v>
      </c>
      <c r="L192" t="s">
        <v>736</v>
      </c>
      <c r="M192" t="s">
        <v>737</v>
      </c>
      <c r="N192" t="s">
        <v>20</v>
      </c>
    </row>
    <row r="193" spans="1:14">
      <c r="A193">
        <v>543029</v>
      </c>
      <c r="B193" t="s">
        <v>738</v>
      </c>
      <c r="C193" t="str">
        <f>"9780786448746"</f>
        <v>9780786448746</v>
      </c>
      <c r="D193" t="str">
        <f>"9780786457960"</f>
        <v>9780786457960</v>
      </c>
      <c r="E193" t="s">
        <v>641</v>
      </c>
      <c r="F193" s="1">
        <v>40513</v>
      </c>
      <c r="G193" t="s">
        <v>16</v>
      </c>
      <c r="J193" t="s">
        <v>739</v>
      </c>
      <c r="K193" t="s">
        <v>35</v>
      </c>
      <c r="L193" t="s">
        <v>740</v>
      </c>
      <c r="M193" t="s">
        <v>741</v>
      </c>
      <c r="N193" t="s">
        <v>20</v>
      </c>
    </row>
    <row r="194" spans="1:14">
      <c r="A194">
        <v>547047</v>
      </c>
      <c r="B194" t="s">
        <v>742</v>
      </c>
      <c r="C194" t="str">
        <f>"9781405179799"</f>
        <v>9781405179799</v>
      </c>
      <c r="D194" t="str">
        <f>"9781444314854"</f>
        <v>9781444314854</v>
      </c>
      <c r="E194" t="s">
        <v>26</v>
      </c>
      <c r="F194" s="1">
        <v>40161</v>
      </c>
      <c r="G194" t="s">
        <v>16</v>
      </c>
      <c r="H194">
        <v>1</v>
      </c>
      <c r="I194" t="s">
        <v>141</v>
      </c>
      <c r="J194" t="s">
        <v>743</v>
      </c>
      <c r="K194" t="s">
        <v>138</v>
      </c>
      <c r="L194">
        <v>199.8</v>
      </c>
      <c r="M194" t="s">
        <v>744</v>
      </c>
      <c r="N194" t="s">
        <v>20</v>
      </c>
    </row>
    <row r="195" spans="1:14">
      <c r="A195">
        <v>554978</v>
      </c>
      <c r="B195" t="s">
        <v>745</v>
      </c>
      <c r="C195" t="str">
        <f>"9780470437469"</f>
        <v>9780470437469</v>
      </c>
      <c r="D195" t="str">
        <f>"9780470609170"</f>
        <v>9780470609170</v>
      </c>
      <c r="E195" t="s">
        <v>26</v>
      </c>
      <c r="F195" s="1">
        <v>40392</v>
      </c>
      <c r="G195" t="s">
        <v>16</v>
      </c>
      <c r="H195">
        <v>1</v>
      </c>
      <c r="J195" t="s">
        <v>746</v>
      </c>
      <c r="K195" t="s">
        <v>394</v>
      </c>
      <c r="L195" t="s">
        <v>747</v>
      </c>
      <c r="M195" t="s">
        <v>748</v>
      </c>
      <c r="N195" t="s">
        <v>20</v>
      </c>
    </row>
    <row r="196" spans="1:14">
      <c r="A196">
        <v>555320</v>
      </c>
      <c r="B196" t="s">
        <v>749</v>
      </c>
      <c r="C196" t="str">
        <f>"9780195337976"</f>
        <v>9780195337976</v>
      </c>
      <c r="D196" t="str">
        <f>"9780199713806"</f>
        <v>9780199713806</v>
      </c>
      <c r="E196" t="s">
        <v>750</v>
      </c>
      <c r="F196" s="1">
        <v>40101</v>
      </c>
      <c r="G196" t="s">
        <v>16</v>
      </c>
      <c r="I196" t="s">
        <v>751</v>
      </c>
      <c r="J196" t="s">
        <v>752</v>
      </c>
      <c r="K196" t="s">
        <v>753</v>
      </c>
      <c r="L196">
        <v>909.08</v>
      </c>
      <c r="M196" t="s">
        <v>754</v>
      </c>
      <c r="N196" t="s">
        <v>20</v>
      </c>
    </row>
    <row r="197" spans="1:14">
      <c r="A197">
        <v>555546</v>
      </c>
      <c r="B197" t="s">
        <v>755</v>
      </c>
      <c r="C197" t="str">
        <f>"9780230612389"</f>
        <v>9780230612389</v>
      </c>
      <c r="D197" t="str">
        <f>"9780230101036"</f>
        <v>9780230101036</v>
      </c>
      <c r="E197" t="s">
        <v>756</v>
      </c>
      <c r="F197" s="1">
        <v>40099</v>
      </c>
      <c r="G197" t="s">
        <v>16</v>
      </c>
      <c r="J197" t="s">
        <v>757</v>
      </c>
      <c r="K197" t="s">
        <v>758</v>
      </c>
      <c r="L197">
        <v>371.2</v>
      </c>
      <c r="M197" t="s">
        <v>759</v>
      </c>
      <c r="N197" t="s">
        <v>20</v>
      </c>
    </row>
    <row r="198" spans="1:14">
      <c r="A198">
        <v>557015</v>
      </c>
      <c r="B198" t="s">
        <v>760</v>
      </c>
      <c r="C198" t="str">
        <f>"9781615301379"</f>
        <v>9781615301379</v>
      </c>
      <c r="D198" t="str">
        <f>"9781615301768"</f>
        <v>9781615301768</v>
      </c>
      <c r="E198" t="s">
        <v>761</v>
      </c>
      <c r="F198" s="1">
        <v>40269</v>
      </c>
      <c r="G198" t="s">
        <v>16</v>
      </c>
      <c r="H198">
        <v>1</v>
      </c>
      <c r="I198" t="s">
        <v>762</v>
      </c>
      <c r="J198" t="s">
        <v>763</v>
      </c>
      <c r="K198" t="s">
        <v>764</v>
      </c>
      <c r="L198" t="s">
        <v>765</v>
      </c>
      <c r="M198" t="s">
        <v>766</v>
      </c>
      <c r="N198" t="s">
        <v>20</v>
      </c>
    </row>
    <row r="199" spans="1:14">
      <c r="A199">
        <v>564462</v>
      </c>
      <c r="B199" t="s">
        <v>767</v>
      </c>
      <c r="C199" t="str">
        <f>"9780521872980"</f>
        <v>9780521872980</v>
      </c>
      <c r="D199" t="str">
        <f>"9780511799099"</f>
        <v>9780511799099</v>
      </c>
      <c r="E199" t="s">
        <v>33</v>
      </c>
      <c r="F199" s="1">
        <v>40423</v>
      </c>
      <c r="G199" t="s">
        <v>16</v>
      </c>
      <c r="I199" t="s">
        <v>106</v>
      </c>
      <c r="J199" t="s">
        <v>768</v>
      </c>
      <c r="K199" t="s">
        <v>18</v>
      </c>
      <c r="L199">
        <v>813.54</v>
      </c>
      <c r="M199" t="s">
        <v>769</v>
      </c>
      <c r="N199" t="s">
        <v>20</v>
      </c>
    </row>
    <row r="200" spans="1:14">
      <c r="A200">
        <v>564466</v>
      </c>
      <c r="B200" t="s">
        <v>770</v>
      </c>
      <c r="C200" t="str">
        <f>"9780521896689"</f>
        <v>9780521896689</v>
      </c>
      <c r="D200" t="str">
        <f>"9780511799167"</f>
        <v>9780511799167</v>
      </c>
      <c r="E200" t="s">
        <v>33</v>
      </c>
      <c r="F200" s="1">
        <v>40409</v>
      </c>
      <c r="G200" t="s">
        <v>16</v>
      </c>
      <c r="I200" t="s">
        <v>106</v>
      </c>
      <c r="J200" t="s">
        <v>771</v>
      </c>
      <c r="K200" t="s">
        <v>18</v>
      </c>
      <c r="L200">
        <v>821.7</v>
      </c>
      <c r="M200" t="s">
        <v>772</v>
      </c>
      <c r="N200" t="s">
        <v>20</v>
      </c>
    </row>
    <row r="201" spans="1:14">
      <c r="A201">
        <v>564967</v>
      </c>
      <c r="B201" t="s">
        <v>773</v>
      </c>
      <c r="C201" t="str">
        <f>"9780470745939"</f>
        <v>9780470745939</v>
      </c>
      <c r="D201" t="str">
        <f>"9780470689622"</f>
        <v>9780470689622</v>
      </c>
      <c r="E201" t="s">
        <v>26</v>
      </c>
      <c r="F201" s="1">
        <v>40238</v>
      </c>
      <c r="G201" t="s">
        <v>16</v>
      </c>
      <c r="H201">
        <v>1</v>
      </c>
      <c r="J201" t="s">
        <v>774</v>
      </c>
      <c r="K201" t="s">
        <v>29</v>
      </c>
      <c r="L201">
        <v>658.46</v>
      </c>
      <c r="M201" t="s">
        <v>775</v>
      </c>
      <c r="N201" t="s">
        <v>20</v>
      </c>
    </row>
    <row r="202" spans="1:14">
      <c r="A202">
        <v>564968</v>
      </c>
      <c r="B202" t="s">
        <v>776</v>
      </c>
      <c r="C202" t="str">
        <f>"9780470745922"</f>
        <v>9780470745922</v>
      </c>
      <c r="D202" t="str">
        <f>"9780470660362"</f>
        <v>9780470660362</v>
      </c>
      <c r="E202" t="s">
        <v>26</v>
      </c>
      <c r="F202" s="1">
        <v>40252</v>
      </c>
      <c r="G202" t="s">
        <v>16</v>
      </c>
      <c r="H202">
        <v>1</v>
      </c>
      <c r="J202" t="s">
        <v>774</v>
      </c>
      <c r="K202" t="s">
        <v>29</v>
      </c>
      <c r="L202">
        <v>658.5</v>
      </c>
      <c r="M202" t="s">
        <v>777</v>
      </c>
      <c r="N202" t="s">
        <v>20</v>
      </c>
    </row>
    <row r="203" spans="1:14">
      <c r="A203">
        <v>565143</v>
      </c>
      <c r="B203" t="s">
        <v>778</v>
      </c>
      <c r="C203" t="str">
        <f>"9780470518373"</f>
        <v>9780470518373</v>
      </c>
      <c r="D203" t="str">
        <f>"9780470687437"</f>
        <v>9780470687437</v>
      </c>
      <c r="E203" t="s">
        <v>26</v>
      </c>
      <c r="F203" s="1">
        <v>39510</v>
      </c>
      <c r="G203" t="s">
        <v>16</v>
      </c>
      <c r="H203">
        <v>1</v>
      </c>
      <c r="J203" t="s">
        <v>779</v>
      </c>
      <c r="K203" t="s">
        <v>29</v>
      </c>
      <c r="L203">
        <v>658</v>
      </c>
      <c r="M203" t="s">
        <v>780</v>
      </c>
      <c r="N203" t="s">
        <v>20</v>
      </c>
    </row>
    <row r="204" spans="1:14">
      <c r="A204">
        <v>565364</v>
      </c>
      <c r="B204" t="s">
        <v>781</v>
      </c>
      <c r="C204" t="str">
        <f>"9780195389692"</f>
        <v>9780195389692</v>
      </c>
      <c r="D204" t="str">
        <f>"9780199780624"</f>
        <v>9780199780624</v>
      </c>
      <c r="E204" t="s">
        <v>703</v>
      </c>
      <c r="F204" s="1">
        <v>40478</v>
      </c>
      <c r="G204" t="s">
        <v>16</v>
      </c>
      <c r="I204" t="s">
        <v>782</v>
      </c>
      <c r="J204" t="s">
        <v>783</v>
      </c>
      <c r="K204" t="s">
        <v>155</v>
      </c>
      <c r="L204">
        <v>616.1</v>
      </c>
      <c r="M204" t="s">
        <v>784</v>
      </c>
      <c r="N204" t="s">
        <v>20</v>
      </c>
    </row>
    <row r="205" spans="1:14">
      <c r="A205">
        <v>570418</v>
      </c>
      <c r="B205" t="s">
        <v>785</v>
      </c>
      <c r="C205" t="str">
        <f>"9780786443734"</f>
        <v>9780786443734</v>
      </c>
      <c r="D205" t="str">
        <f>"9780786457632"</f>
        <v>9780786457632</v>
      </c>
      <c r="E205" t="s">
        <v>641</v>
      </c>
      <c r="F205" s="1">
        <v>40364</v>
      </c>
      <c r="G205" t="s">
        <v>16</v>
      </c>
      <c r="H205">
        <v>5</v>
      </c>
      <c r="J205" t="s">
        <v>713</v>
      </c>
      <c r="K205" t="s">
        <v>786</v>
      </c>
      <c r="L205" t="s">
        <v>787</v>
      </c>
      <c r="M205" t="s">
        <v>788</v>
      </c>
      <c r="N205" t="s">
        <v>20</v>
      </c>
    </row>
    <row r="206" spans="1:14">
      <c r="A206">
        <v>578795</v>
      </c>
      <c r="B206" t="s">
        <v>789</v>
      </c>
      <c r="C206" t="str">
        <f>"9780195399769"</f>
        <v>9780195399769</v>
      </c>
      <c r="D206" t="str">
        <f>"9780199750436"</f>
        <v>9780199750436</v>
      </c>
      <c r="E206" t="s">
        <v>750</v>
      </c>
      <c r="F206" s="1">
        <v>40430</v>
      </c>
      <c r="G206" t="s">
        <v>16</v>
      </c>
      <c r="J206" t="s">
        <v>790</v>
      </c>
      <c r="K206" t="s">
        <v>50</v>
      </c>
      <c r="L206">
        <v>947.5</v>
      </c>
      <c r="M206" t="s">
        <v>791</v>
      </c>
      <c r="N206" t="s">
        <v>20</v>
      </c>
    </row>
    <row r="207" spans="1:14">
      <c r="A207">
        <v>585321</v>
      </c>
      <c r="B207" t="s">
        <v>792</v>
      </c>
      <c r="C207" t="str">
        <f>"9780521736879"</f>
        <v>9780521736879</v>
      </c>
      <c r="D207" t="str">
        <f>"9780511915161"</f>
        <v>9780511915161</v>
      </c>
      <c r="E207" t="s">
        <v>33</v>
      </c>
      <c r="F207" s="1">
        <v>40514</v>
      </c>
      <c r="G207" t="s">
        <v>16</v>
      </c>
      <c r="H207">
        <v>5</v>
      </c>
      <c r="J207" t="s">
        <v>793</v>
      </c>
      <c r="K207" t="s">
        <v>155</v>
      </c>
      <c r="L207">
        <v>618.92002500000001</v>
      </c>
      <c r="M207" t="s">
        <v>794</v>
      </c>
      <c r="N207" t="s">
        <v>20</v>
      </c>
    </row>
    <row r="208" spans="1:14">
      <c r="A208">
        <v>585347</v>
      </c>
      <c r="B208" t="s">
        <v>795</v>
      </c>
      <c r="C208" t="str">
        <f>"9780521514019"</f>
        <v>9780521514019</v>
      </c>
      <c r="D208" t="str">
        <f>"9780511915086"</f>
        <v>9780511915086</v>
      </c>
      <c r="E208" t="s">
        <v>33</v>
      </c>
      <c r="F208" s="1">
        <v>40479</v>
      </c>
      <c r="G208" t="s">
        <v>16</v>
      </c>
      <c r="I208" t="s">
        <v>106</v>
      </c>
      <c r="J208" t="s">
        <v>796</v>
      </c>
      <c r="K208" t="s">
        <v>18</v>
      </c>
      <c r="L208">
        <v>839.60900000000004</v>
      </c>
      <c r="M208" t="s">
        <v>797</v>
      </c>
      <c r="N208" t="s">
        <v>20</v>
      </c>
    </row>
    <row r="209" spans="1:14">
      <c r="A209">
        <v>585367</v>
      </c>
      <c r="B209" t="s">
        <v>798</v>
      </c>
      <c r="C209" t="str">
        <f>"9780521147842"</f>
        <v>9780521147842</v>
      </c>
      <c r="D209" t="str">
        <f>"9780511914966"</f>
        <v>9780511914966</v>
      </c>
      <c r="E209" t="s">
        <v>33</v>
      </c>
      <c r="F209" s="1">
        <v>40493</v>
      </c>
      <c r="G209" t="s">
        <v>16</v>
      </c>
      <c r="H209">
        <v>2</v>
      </c>
      <c r="J209" t="s">
        <v>799</v>
      </c>
      <c r="K209" t="s">
        <v>155</v>
      </c>
      <c r="L209">
        <v>616.69200000000001</v>
      </c>
      <c r="M209" t="s">
        <v>800</v>
      </c>
      <c r="N209" t="s">
        <v>20</v>
      </c>
    </row>
    <row r="210" spans="1:14">
      <c r="A210">
        <v>585372</v>
      </c>
      <c r="B210" t="s">
        <v>801</v>
      </c>
      <c r="C210" t="str">
        <f>"9780521880770"</f>
        <v>9780521880770</v>
      </c>
      <c r="D210" t="str">
        <f>"9780511915314"</f>
        <v>9780511915314</v>
      </c>
      <c r="E210" t="s">
        <v>33</v>
      </c>
      <c r="F210" s="1">
        <v>40458</v>
      </c>
      <c r="G210" t="s">
        <v>16</v>
      </c>
      <c r="I210" t="s">
        <v>106</v>
      </c>
      <c r="J210" t="s">
        <v>802</v>
      </c>
      <c r="K210" t="s">
        <v>803</v>
      </c>
      <c r="L210">
        <v>891.72299999999996</v>
      </c>
      <c r="M210" t="s">
        <v>804</v>
      </c>
      <c r="N210" t="s">
        <v>20</v>
      </c>
    </row>
    <row r="211" spans="1:14">
      <c r="A211">
        <v>585375</v>
      </c>
      <c r="B211" t="s">
        <v>805</v>
      </c>
      <c r="C211" t="str">
        <f>"9780521885751"</f>
        <v>9780521885751</v>
      </c>
      <c r="D211" t="str">
        <f>"9780511915369"</f>
        <v>9780511915369</v>
      </c>
      <c r="E211" t="s">
        <v>33</v>
      </c>
      <c r="F211" s="1">
        <v>40507</v>
      </c>
      <c r="G211" t="s">
        <v>16</v>
      </c>
      <c r="I211" t="s">
        <v>106</v>
      </c>
      <c r="J211" t="s">
        <v>806</v>
      </c>
      <c r="K211" t="s">
        <v>18</v>
      </c>
      <c r="L211">
        <v>809.3</v>
      </c>
      <c r="M211" t="s">
        <v>807</v>
      </c>
      <c r="N211" t="s">
        <v>20</v>
      </c>
    </row>
    <row r="212" spans="1:14">
      <c r="A212">
        <v>585387</v>
      </c>
      <c r="B212" t="s">
        <v>808</v>
      </c>
      <c r="C212" t="str">
        <f>"9780521879415"</f>
        <v>9780521879415</v>
      </c>
      <c r="D212" t="str">
        <f>"9780511915291"</f>
        <v>9780511915291</v>
      </c>
      <c r="E212" t="s">
        <v>33</v>
      </c>
      <c r="F212" s="1">
        <v>40458</v>
      </c>
      <c r="G212" t="s">
        <v>16</v>
      </c>
      <c r="I212" t="s">
        <v>106</v>
      </c>
      <c r="J212" t="s">
        <v>809</v>
      </c>
      <c r="K212" t="s">
        <v>18</v>
      </c>
      <c r="L212">
        <v>821.3</v>
      </c>
      <c r="M212" t="s">
        <v>810</v>
      </c>
      <c r="N212" t="s">
        <v>20</v>
      </c>
    </row>
    <row r="213" spans="1:14">
      <c r="A213">
        <v>588895</v>
      </c>
      <c r="B213" t="s">
        <v>811</v>
      </c>
      <c r="C213" t="str">
        <f>"9780470560853"</f>
        <v>9780470560853</v>
      </c>
      <c r="D213" t="str">
        <f>"9780470642269"</f>
        <v>9780470642269</v>
      </c>
      <c r="E213" t="s">
        <v>26</v>
      </c>
      <c r="F213" s="1">
        <v>40413</v>
      </c>
      <c r="G213" t="s">
        <v>16</v>
      </c>
      <c r="H213">
        <v>3</v>
      </c>
      <c r="I213" t="s">
        <v>812</v>
      </c>
      <c r="J213" t="s">
        <v>813</v>
      </c>
      <c r="K213" t="s">
        <v>408</v>
      </c>
      <c r="L213">
        <v>372.14</v>
      </c>
      <c r="M213" t="s">
        <v>814</v>
      </c>
      <c r="N213" t="s">
        <v>20</v>
      </c>
    </row>
    <row r="214" spans="1:14">
      <c r="A214">
        <v>602186</v>
      </c>
      <c r="B214" t="s">
        <v>815</v>
      </c>
      <c r="C214" t="str">
        <f>"9780786458554"</f>
        <v>9780786458554</v>
      </c>
      <c r="D214" t="str">
        <f>"9780786459957"</f>
        <v>9780786459957</v>
      </c>
      <c r="E214" t="s">
        <v>816</v>
      </c>
      <c r="F214" s="1">
        <v>40455</v>
      </c>
      <c r="G214" t="s">
        <v>16</v>
      </c>
      <c r="H214">
        <v>2</v>
      </c>
      <c r="J214" t="s">
        <v>817</v>
      </c>
      <c r="K214" t="s">
        <v>386</v>
      </c>
      <c r="L214" t="s">
        <v>818</v>
      </c>
      <c r="M214" t="s">
        <v>819</v>
      </c>
      <c r="N214" t="s">
        <v>20</v>
      </c>
    </row>
    <row r="215" spans="1:14">
      <c r="A215">
        <v>605009</v>
      </c>
      <c r="B215" t="s">
        <v>820</v>
      </c>
      <c r="C215" t="str">
        <f>"9780521193849"</f>
        <v>9780521193849</v>
      </c>
      <c r="D215" t="str">
        <f>"9780511927485"</f>
        <v>9780511927485</v>
      </c>
      <c r="E215" t="s">
        <v>33</v>
      </c>
      <c r="F215" s="1">
        <v>40388</v>
      </c>
      <c r="G215" t="s">
        <v>16</v>
      </c>
      <c r="J215" t="s">
        <v>821</v>
      </c>
      <c r="K215" t="s">
        <v>822</v>
      </c>
      <c r="L215">
        <v>362.21</v>
      </c>
      <c r="M215" t="s">
        <v>823</v>
      </c>
      <c r="N215" t="s">
        <v>20</v>
      </c>
    </row>
    <row r="216" spans="1:14">
      <c r="A216">
        <v>605025</v>
      </c>
      <c r="B216" t="s">
        <v>824</v>
      </c>
      <c r="C216" t="str">
        <f>"9780521515115"</f>
        <v>9780521515115</v>
      </c>
      <c r="D216" t="str">
        <f>"9780511928000"</f>
        <v>9780511928000</v>
      </c>
      <c r="E216" t="s">
        <v>33</v>
      </c>
      <c r="F216" s="1">
        <v>40535</v>
      </c>
      <c r="G216" t="s">
        <v>16</v>
      </c>
      <c r="J216" t="s">
        <v>825</v>
      </c>
      <c r="K216" t="s">
        <v>246</v>
      </c>
      <c r="L216">
        <v>616.84980651000001</v>
      </c>
      <c r="M216" t="s">
        <v>826</v>
      </c>
      <c r="N216" t="s">
        <v>20</v>
      </c>
    </row>
    <row r="217" spans="1:14">
      <c r="A217">
        <v>605051</v>
      </c>
      <c r="B217" t="s">
        <v>827</v>
      </c>
      <c r="C217" t="str">
        <f>"9780521896351"</f>
        <v>9780521896351</v>
      </c>
      <c r="D217" t="str">
        <f>"9780511928291"</f>
        <v>9780511928291</v>
      </c>
      <c r="E217" t="s">
        <v>33</v>
      </c>
      <c r="F217" s="1">
        <v>40549</v>
      </c>
      <c r="G217" t="s">
        <v>16</v>
      </c>
      <c r="I217" t="s">
        <v>106</v>
      </c>
      <c r="J217" t="s">
        <v>828</v>
      </c>
      <c r="K217" t="s">
        <v>18</v>
      </c>
      <c r="L217">
        <v>809.93355599999995</v>
      </c>
      <c r="M217" t="s">
        <v>829</v>
      </c>
      <c r="N217" t="s">
        <v>20</v>
      </c>
    </row>
    <row r="218" spans="1:14">
      <c r="A218">
        <v>605059</v>
      </c>
      <c r="B218" t="s">
        <v>830</v>
      </c>
      <c r="C218" t="str">
        <f>"9780521194235"</f>
        <v>9780521194235</v>
      </c>
      <c r="D218" t="str">
        <f>"9780511927294"</f>
        <v>9780511927294</v>
      </c>
      <c r="E218" t="s">
        <v>33</v>
      </c>
      <c r="F218" s="1">
        <v>40360</v>
      </c>
      <c r="G218" t="s">
        <v>16</v>
      </c>
      <c r="J218" t="s">
        <v>831</v>
      </c>
      <c r="K218" t="s">
        <v>832</v>
      </c>
      <c r="L218">
        <v>519.5</v>
      </c>
      <c r="M218" t="s">
        <v>833</v>
      </c>
      <c r="N218" t="s">
        <v>20</v>
      </c>
    </row>
    <row r="219" spans="1:14">
      <c r="A219">
        <v>605339</v>
      </c>
      <c r="B219" t="s">
        <v>834</v>
      </c>
      <c r="C219" t="str">
        <f>"9781615303328"</f>
        <v>9781615303328</v>
      </c>
      <c r="D219" t="str">
        <f>"9781615304097"</f>
        <v>9781615304097</v>
      </c>
      <c r="E219" t="s">
        <v>761</v>
      </c>
      <c r="F219" s="1">
        <v>40452</v>
      </c>
      <c r="G219" t="s">
        <v>16</v>
      </c>
      <c r="H219">
        <v>1</v>
      </c>
      <c r="I219" t="s">
        <v>835</v>
      </c>
      <c r="J219" t="s">
        <v>836</v>
      </c>
      <c r="K219" t="s">
        <v>837</v>
      </c>
      <c r="L219">
        <v>599.35</v>
      </c>
      <c r="M219" t="s">
        <v>838</v>
      </c>
      <c r="N219" t="s">
        <v>20</v>
      </c>
    </row>
    <row r="220" spans="1:14">
      <c r="A220">
        <v>605886</v>
      </c>
      <c r="B220" t="s">
        <v>839</v>
      </c>
      <c r="C220" t="str">
        <f>"9780826114716"</f>
        <v>9780826114716</v>
      </c>
      <c r="D220" t="str">
        <f>"9780826117717"</f>
        <v>9780826117717</v>
      </c>
      <c r="E220" t="s">
        <v>379</v>
      </c>
      <c r="F220" s="1">
        <v>40445</v>
      </c>
      <c r="G220" t="s">
        <v>16</v>
      </c>
      <c r="J220" t="s">
        <v>840</v>
      </c>
      <c r="K220" t="s">
        <v>661</v>
      </c>
      <c r="L220" t="s">
        <v>841</v>
      </c>
      <c r="M220" t="s">
        <v>842</v>
      </c>
      <c r="N220" t="s">
        <v>20</v>
      </c>
    </row>
    <row r="221" spans="1:14">
      <c r="A221">
        <v>615761</v>
      </c>
      <c r="B221" t="s">
        <v>843</v>
      </c>
      <c r="C221" t="str">
        <f>"9780521195713"</f>
        <v>9780521195713</v>
      </c>
      <c r="D221" t="str">
        <f>"9780511857713"</f>
        <v>9780511857713</v>
      </c>
      <c r="E221" t="s">
        <v>33</v>
      </c>
      <c r="F221" s="1">
        <v>40462</v>
      </c>
      <c r="G221" t="s">
        <v>16</v>
      </c>
      <c r="H221">
        <v>5</v>
      </c>
      <c r="J221" t="s">
        <v>844</v>
      </c>
      <c r="K221" t="s">
        <v>845</v>
      </c>
      <c r="L221">
        <v>808.06614999999999</v>
      </c>
      <c r="M221" t="s">
        <v>846</v>
      </c>
      <c r="N221" t="s">
        <v>20</v>
      </c>
    </row>
    <row r="222" spans="1:14">
      <c r="A222">
        <v>615764</v>
      </c>
      <c r="B222" t="s">
        <v>847</v>
      </c>
      <c r="C222" t="str">
        <f>"9780521630306"</f>
        <v>9780521630306</v>
      </c>
      <c r="D222" t="str">
        <f>"9780511858345"</f>
        <v>9780511858345</v>
      </c>
      <c r="E222" t="s">
        <v>33</v>
      </c>
      <c r="F222" s="1">
        <v>40584</v>
      </c>
      <c r="G222" t="s">
        <v>16</v>
      </c>
      <c r="J222" t="s">
        <v>848</v>
      </c>
      <c r="K222" t="s">
        <v>66</v>
      </c>
      <c r="L222">
        <v>523.88</v>
      </c>
      <c r="M222" t="s">
        <v>849</v>
      </c>
      <c r="N222" t="s">
        <v>20</v>
      </c>
    </row>
    <row r="223" spans="1:14">
      <c r="A223">
        <v>624285</v>
      </c>
      <c r="B223" t="s">
        <v>850</v>
      </c>
      <c r="C223" t="str">
        <f>"9781615303021"</f>
        <v>9781615303021</v>
      </c>
      <c r="D223" t="str">
        <f>"9781615303786"</f>
        <v>9781615303786</v>
      </c>
      <c r="E223" t="s">
        <v>761</v>
      </c>
      <c r="F223" s="1">
        <v>40452</v>
      </c>
      <c r="G223" t="s">
        <v>16</v>
      </c>
      <c r="H223">
        <v>1</v>
      </c>
      <c r="I223" t="s">
        <v>851</v>
      </c>
      <c r="J223" t="s">
        <v>852</v>
      </c>
      <c r="K223" t="s">
        <v>603</v>
      </c>
      <c r="L223">
        <v>577</v>
      </c>
      <c r="M223" t="s">
        <v>853</v>
      </c>
      <c r="N223" t="s">
        <v>20</v>
      </c>
    </row>
    <row r="224" spans="1:14">
      <c r="A224">
        <v>624292</v>
      </c>
      <c r="B224" t="s">
        <v>854</v>
      </c>
      <c r="C224" t="str">
        <f>"9781615303403"</f>
        <v>9781615303403</v>
      </c>
      <c r="D224" t="str">
        <f>"9781615303854"</f>
        <v>9781615303854</v>
      </c>
      <c r="E224" t="s">
        <v>761</v>
      </c>
      <c r="F224" s="1">
        <v>40452</v>
      </c>
      <c r="G224" t="s">
        <v>16</v>
      </c>
      <c r="H224">
        <v>1</v>
      </c>
      <c r="I224" t="s">
        <v>835</v>
      </c>
      <c r="J224" t="s">
        <v>836</v>
      </c>
      <c r="K224" t="s">
        <v>43</v>
      </c>
      <c r="L224">
        <v>599.70000000000005</v>
      </c>
      <c r="M224" t="s">
        <v>855</v>
      </c>
      <c r="N224" t="s">
        <v>20</v>
      </c>
    </row>
    <row r="225" spans="1:14">
      <c r="A225">
        <v>624304</v>
      </c>
      <c r="B225" t="s">
        <v>856</v>
      </c>
      <c r="C225" t="str">
        <f>"9781615303274"</f>
        <v>9781615303274</v>
      </c>
      <c r="D225" t="str">
        <f>"9781615304073"</f>
        <v>9781615304073</v>
      </c>
      <c r="E225" t="s">
        <v>761</v>
      </c>
      <c r="F225" s="1">
        <v>40452</v>
      </c>
      <c r="G225" t="s">
        <v>16</v>
      </c>
      <c r="H225">
        <v>1</v>
      </c>
      <c r="I225" t="s">
        <v>857</v>
      </c>
      <c r="J225" t="s">
        <v>858</v>
      </c>
      <c r="K225" t="s">
        <v>50</v>
      </c>
      <c r="L225">
        <v>953.6</v>
      </c>
      <c r="M225" t="s">
        <v>859</v>
      </c>
      <c r="N225" t="s">
        <v>20</v>
      </c>
    </row>
    <row r="226" spans="1:14">
      <c r="A226">
        <v>624305</v>
      </c>
      <c r="B226" t="s">
        <v>860</v>
      </c>
      <c r="C226" t="str">
        <f>"9781615303397"</f>
        <v>9781615303397</v>
      </c>
      <c r="D226" t="str">
        <f>"9781615304080"</f>
        <v>9781615304080</v>
      </c>
      <c r="E226" t="s">
        <v>761</v>
      </c>
      <c r="F226" s="1">
        <v>40452</v>
      </c>
      <c r="G226" t="s">
        <v>16</v>
      </c>
      <c r="H226">
        <v>1</v>
      </c>
      <c r="I226" t="s">
        <v>835</v>
      </c>
      <c r="J226" t="s">
        <v>836</v>
      </c>
      <c r="K226" t="s">
        <v>837</v>
      </c>
      <c r="L226">
        <v>599.79999999999995</v>
      </c>
      <c r="M226" t="s">
        <v>861</v>
      </c>
      <c r="N226" t="s">
        <v>20</v>
      </c>
    </row>
    <row r="227" spans="1:14">
      <c r="A227">
        <v>624617</v>
      </c>
      <c r="B227" t="s">
        <v>862</v>
      </c>
      <c r="C227" t="str">
        <f>"9780470547434"</f>
        <v>9780470547434</v>
      </c>
      <c r="D227" t="str">
        <f>"9780470872925"</f>
        <v>9780470872925</v>
      </c>
      <c r="E227" t="s">
        <v>26</v>
      </c>
      <c r="F227" s="1">
        <v>40491</v>
      </c>
      <c r="G227" t="s">
        <v>16</v>
      </c>
      <c r="H227">
        <v>2</v>
      </c>
      <c r="I227" t="s">
        <v>812</v>
      </c>
      <c r="J227" t="s">
        <v>863</v>
      </c>
      <c r="K227" t="s">
        <v>408</v>
      </c>
      <c r="L227" t="s">
        <v>864</v>
      </c>
      <c r="M227" t="s">
        <v>865</v>
      </c>
      <c r="N227" t="s">
        <v>20</v>
      </c>
    </row>
    <row r="228" spans="1:14">
      <c r="A228">
        <v>624647</v>
      </c>
      <c r="B228" t="s">
        <v>866</v>
      </c>
      <c r="C228" t="str">
        <f>"9781444334043"</f>
        <v>9781444334043</v>
      </c>
      <c r="D228" t="str">
        <f>"9781444328363"</f>
        <v>9781444328363</v>
      </c>
      <c r="E228" t="s">
        <v>26</v>
      </c>
      <c r="F228" s="1">
        <v>40574</v>
      </c>
      <c r="G228" t="s">
        <v>16</v>
      </c>
      <c r="H228">
        <v>1</v>
      </c>
      <c r="I228" t="s">
        <v>307</v>
      </c>
      <c r="J228" t="s">
        <v>867</v>
      </c>
      <c r="K228" t="s">
        <v>309</v>
      </c>
      <c r="L228">
        <v>796.08699999999999</v>
      </c>
      <c r="M228" t="s">
        <v>868</v>
      </c>
      <c r="N228" t="s">
        <v>20</v>
      </c>
    </row>
    <row r="229" spans="1:14">
      <c r="A229">
        <v>624726</v>
      </c>
      <c r="B229" t="s">
        <v>869</v>
      </c>
      <c r="C229" t="str">
        <f>"9781405183529"</f>
        <v>9781405183529</v>
      </c>
      <c r="D229" t="str">
        <f>"9781444392630"</f>
        <v>9781444392630</v>
      </c>
      <c r="E229" t="s">
        <v>26</v>
      </c>
      <c r="F229" s="1">
        <v>40568</v>
      </c>
      <c r="G229" t="s">
        <v>16</v>
      </c>
      <c r="H229">
        <v>1</v>
      </c>
      <c r="J229" t="s">
        <v>870</v>
      </c>
      <c r="K229" t="s">
        <v>55</v>
      </c>
      <c r="L229">
        <v>301.02999999999997</v>
      </c>
      <c r="M229" t="s">
        <v>871</v>
      </c>
      <c r="N229" t="s">
        <v>20</v>
      </c>
    </row>
    <row r="230" spans="1:14">
      <c r="A230">
        <v>624730</v>
      </c>
      <c r="B230" t="s">
        <v>872</v>
      </c>
      <c r="C230" t="str">
        <f>"9781405179362"</f>
        <v>9781405179362</v>
      </c>
      <c r="D230" t="str">
        <f>"9781444327526"</f>
        <v>9781444327526</v>
      </c>
      <c r="E230" t="s">
        <v>26</v>
      </c>
      <c r="F230" s="1">
        <v>40518</v>
      </c>
      <c r="G230" t="s">
        <v>16</v>
      </c>
      <c r="H230">
        <v>1</v>
      </c>
      <c r="I230" t="s">
        <v>88</v>
      </c>
      <c r="J230" t="s">
        <v>873</v>
      </c>
      <c r="K230" t="s">
        <v>50</v>
      </c>
      <c r="L230" t="s">
        <v>874</v>
      </c>
      <c r="M230" t="s">
        <v>875</v>
      </c>
      <c r="N230" t="s">
        <v>20</v>
      </c>
    </row>
    <row r="231" spans="1:14">
      <c r="A231">
        <v>624771</v>
      </c>
      <c r="B231" t="s">
        <v>876</v>
      </c>
      <c r="C231" t="str">
        <f>"9781405185394"</f>
        <v>9781405185394</v>
      </c>
      <c r="D231" t="str">
        <f>"9781444392531"</f>
        <v>9781444392531</v>
      </c>
      <c r="E231" t="s">
        <v>26</v>
      </c>
      <c r="F231" s="1">
        <v>40574</v>
      </c>
      <c r="G231" t="s">
        <v>16</v>
      </c>
      <c r="H231">
        <v>1</v>
      </c>
      <c r="J231" t="s">
        <v>877</v>
      </c>
      <c r="K231" t="s">
        <v>94</v>
      </c>
      <c r="L231" t="s">
        <v>878</v>
      </c>
      <c r="M231" t="s">
        <v>879</v>
      </c>
      <c r="N231" t="s">
        <v>20</v>
      </c>
    </row>
    <row r="232" spans="1:14">
      <c r="A232">
        <v>631537</v>
      </c>
      <c r="B232" t="s">
        <v>880</v>
      </c>
      <c r="C232" t="str">
        <f>"9780786433087"</f>
        <v>9780786433087</v>
      </c>
      <c r="D232" t="str">
        <f>"9780786462223"</f>
        <v>9780786462223</v>
      </c>
      <c r="E232" t="s">
        <v>641</v>
      </c>
      <c r="F232" s="1">
        <v>40521</v>
      </c>
      <c r="G232" t="s">
        <v>16</v>
      </c>
      <c r="J232" t="s">
        <v>881</v>
      </c>
      <c r="K232" t="s">
        <v>50</v>
      </c>
      <c r="L232" t="s">
        <v>882</v>
      </c>
      <c r="M232" t="s">
        <v>883</v>
      </c>
      <c r="N232" t="s">
        <v>20</v>
      </c>
    </row>
    <row r="233" spans="1:14">
      <c r="A233">
        <v>634602</v>
      </c>
      <c r="B233" t="s">
        <v>884</v>
      </c>
      <c r="C233" t="str">
        <f>"9781615354696"</f>
        <v>9781615354696</v>
      </c>
      <c r="D233" t="str">
        <f>"9781615354870"</f>
        <v>9781615354870</v>
      </c>
      <c r="E233" t="s">
        <v>273</v>
      </c>
      <c r="F233" s="1">
        <v>40544</v>
      </c>
      <c r="G233" t="s">
        <v>16</v>
      </c>
      <c r="H233">
        <v>2</v>
      </c>
      <c r="I233" t="s">
        <v>601</v>
      </c>
      <c r="J233" t="s">
        <v>885</v>
      </c>
      <c r="K233" t="s">
        <v>886</v>
      </c>
      <c r="L233">
        <v>629.4</v>
      </c>
      <c r="M233" t="s">
        <v>887</v>
      </c>
      <c r="N233" t="s">
        <v>20</v>
      </c>
    </row>
    <row r="234" spans="1:14">
      <c r="A234">
        <v>634607</v>
      </c>
      <c r="B234" t="s">
        <v>888</v>
      </c>
      <c r="C234" t="str">
        <f>"9781615354542"</f>
        <v>9781615354542</v>
      </c>
      <c r="D234" t="str">
        <f>"9781615354559"</f>
        <v>9781615354559</v>
      </c>
      <c r="E234" t="s">
        <v>273</v>
      </c>
      <c r="F234" s="1">
        <v>40544</v>
      </c>
      <c r="G234" t="s">
        <v>16</v>
      </c>
      <c r="H234">
        <v>1</v>
      </c>
      <c r="I234" t="s">
        <v>889</v>
      </c>
      <c r="J234" t="s">
        <v>890</v>
      </c>
      <c r="K234" t="s">
        <v>891</v>
      </c>
      <c r="L234" t="s">
        <v>892</v>
      </c>
      <c r="M234" t="s">
        <v>893</v>
      </c>
      <c r="N234" t="s">
        <v>20</v>
      </c>
    </row>
    <row r="235" spans="1:14">
      <c r="A235">
        <v>635132</v>
      </c>
      <c r="B235" t="s">
        <v>894</v>
      </c>
      <c r="C235" t="str">
        <f>"9789004180048"</f>
        <v>9789004180048</v>
      </c>
      <c r="D235" t="str">
        <f>"9789047444541"</f>
        <v>9789047444541</v>
      </c>
      <c r="E235" t="s">
        <v>468</v>
      </c>
      <c r="F235" s="1">
        <v>40154</v>
      </c>
      <c r="G235" t="s">
        <v>16</v>
      </c>
      <c r="H235">
        <v>2</v>
      </c>
      <c r="J235" t="s">
        <v>895</v>
      </c>
      <c r="K235" t="s">
        <v>269</v>
      </c>
      <c r="L235" t="s">
        <v>896</v>
      </c>
      <c r="M235" t="s">
        <v>897</v>
      </c>
      <c r="N235" t="s">
        <v>20</v>
      </c>
    </row>
    <row r="236" spans="1:14">
      <c r="A236">
        <v>644974</v>
      </c>
      <c r="B236" t="s">
        <v>898</v>
      </c>
      <c r="C236" t="str">
        <f>"9780470742907"</f>
        <v>9780470742907</v>
      </c>
      <c r="D236" t="str">
        <f>"9781119996521"</f>
        <v>9781119996521</v>
      </c>
      <c r="E236" t="s">
        <v>26</v>
      </c>
      <c r="F236" s="1">
        <v>40932</v>
      </c>
      <c r="G236" t="s">
        <v>16</v>
      </c>
      <c r="H236">
        <v>1</v>
      </c>
      <c r="I236" t="s">
        <v>375</v>
      </c>
      <c r="J236" t="s">
        <v>899</v>
      </c>
      <c r="K236" t="s">
        <v>18</v>
      </c>
      <c r="L236">
        <v>808.06637799999999</v>
      </c>
      <c r="M236" t="s">
        <v>900</v>
      </c>
      <c r="N236" t="s">
        <v>20</v>
      </c>
    </row>
    <row r="237" spans="1:14">
      <c r="A237">
        <v>644988</v>
      </c>
      <c r="B237" t="s">
        <v>901</v>
      </c>
      <c r="C237" t="str">
        <f>"9781119025504"</f>
        <v>9781119025504</v>
      </c>
      <c r="D237" t="str">
        <f>"9781444393699"</f>
        <v>9781444393699</v>
      </c>
      <c r="E237" t="s">
        <v>26</v>
      </c>
      <c r="F237" s="1">
        <v>40602</v>
      </c>
      <c r="G237" t="s">
        <v>16</v>
      </c>
      <c r="H237">
        <v>1</v>
      </c>
      <c r="I237" t="s">
        <v>88</v>
      </c>
      <c r="J237" t="s">
        <v>902</v>
      </c>
      <c r="K237" t="s">
        <v>50</v>
      </c>
      <c r="L237">
        <v>937</v>
      </c>
      <c r="M237" t="s">
        <v>903</v>
      </c>
      <c r="N237" t="s">
        <v>20</v>
      </c>
    </row>
    <row r="238" spans="1:14">
      <c r="A238">
        <v>647399</v>
      </c>
      <c r="B238" t="s">
        <v>904</v>
      </c>
      <c r="C238" t="str">
        <f>"9780521747622"</f>
        <v>9780521747622</v>
      </c>
      <c r="D238" t="str">
        <f>"9780511994630"</f>
        <v>9780511994630</v>
      </c>
      <c r="E238" t="s">
        <v>33</v>
      </c>
      <c r="F238" s="1">
        <v>40118</v>
      </c>
      <c r="G238" t="s">
        <v>16</v>
      </c>
      <c r="J238" t="s">
        <v>905</v>
      </c>
      <c r="K238" t="s">
        <v>155</v>
      </c>
      <c r="L238">
        <v>616.07539999999995</v>
      </c>
      <c r="M238" t="s">
        <v>906</v>
      </c>
      <c r="N238" t="s">
        <v>20</v>
      </c>
    </row>
    <row r="239" spans="1:14">
      <c r="A239">
        <v>661481</v>
      </c>
      <c r="B239" t="s">
        <v>907</v>
      </c>
      <c r="C239" t="str">
        <f>"9780470888506"</f>
        <v>9780470888506</v>
      </c>
      <c r="D239" t="str">
        <f>"9781118009932"</f>
        <v>9781118009932</v>
      </c>
      <c r="E239" t="s">
        <v>26</v>
      </c>
      <c r="F239" s="1">
        <v>40610</v>
      </c>
      <c r="G239" t="s">
        <v>16</v>
      </c>
      <c r="H239">
        <v>2</v>
      </c>
      <c r="I239" t="s">
        <v>908</v>
      </c>
      <c r="J239" t="s">
        <v>909</v>
      </c>
      <c r="K239" t="s">
        <v>269</v>
      </c>
      <c r="L239" t="s">
        <v>910</v>
      </c>
      <c r="M239" t="s">
        <v>911</v>
      </c>
      <c r="N239" t="s">
        <v>20</v>
      </c>
    </row>
    <row r="240" spans="1:14">
      <c r="A240">
        <v>661568</v>
      </c>
      <c r="B240" t="s">
        <v>912</v>
      </c>
      <c r="C240" t="str">
        <f>"9780470635186"</f>
        <v>9780470635186</v>
      </c>
      <c r="D240" t="str">
        <f>"9780470940150"</f>
        <v>9780470940150</v>
      </c>
      <c r="E240" t="s">
        <v>26</v>
      </c>
      <c r="F240" s="1">
        <v>40582</v>
      </c>
      <c r="G240" t="s">
        <v>16</v>
      </c>
      <c r="H240">
        <v>1</v>
      </c>
      <c r="I240" t="s">
        <v>913</v>
      </c>
      <c r="J240" t="s">
        <v>914</v>
      </c>
      <c r="K240" t="s">
        <v>915</v>
      </c>
      <c r="L240">
        <v>692</v>
      </c>
      <c r="M240" t="s">
        <v>916</v>
      </c>
      <c r="N240" t="s">
        <v>20</v>
      </c>
    </row>
    <row r="241" spans="1:14">
      <c r="A241">
        <v>661610</v>
      </c>
      <c r="B241" t="s">
        <v>917</v>
      </c>
      <c r="C241" t="str">
        <f>"9780470531075"</f>
        <v>9780470531075</v>
      </c>
      <c r="D241" t="str">
        <f>"9781118000915"</f>
        <v>9781118000915</v>
      </c>
      <c r="E241" t="s">
        <v>26</v>
      </c>
      <c r="F241" s="1">
        <v>40610</v>
      </c>
      <c r="G241" t="s">
        <v>16</v>
      </c>
      <c r="H241">
        <v>2</v>
      </c>
      <c r="J241" t="s">
        <v>918</v>
      </c>
      <c r="K241" t="s">
        <v>408</v>
      </c>
      <c r="L241" t="s">
        <v>919</v>
      </c>
      <c r="M241" t="s">
        <v>920</v>
      </c>
      <c r="N241" t="s">
        <v>20</v>
      </c>
    </row>
    <row r="242" spans="1:14">
      <c r="A242">
        <v>661758</v>
      </c>
      <c r="B242" t="s">
        <v>921</v>
      </c>
      <c r="C242" t="str">
        <f>"9780470994689"</f>
        <v>9780470994689</v>
      </c>
      <c r="D242" t="str">
        <f>"9780470740682"</f>
        <v>9780470740682</v>
      </c>
      <c r="E242" t="s">
        <v>26</v>
      </c>
      <c r="F242" s="1">
        <v>39784</v>
      </c>
      <c r="G242" t="s">
        <v>16</v>
      </c>
      <c r="H242">
        <v>1</v>
      </c>
      <c r="I242" t="s">
        <v>659</v>
      </c>
      <c r="J242" t="s">
        <v>922</v>
      </c>
      <c r="K242" t="s">
        <v>50</v>
      </c>
      <c r="L242">
        <v>941</v>
      </c>
      <c r="M242" t="s">
        <v>923</v>
      </c>
      <c r="N242" t="s">
        <v>20</v>
      </c>
    </row>
    <row r="243" spans="1:14">
      <c r="A243">
        <v>661767</v>
      </c>
      <c r="B243" t="s">
        <v>924</v>
      </c>
      <c r="C243" t="str">
        <f>"9781444331806"</f>
        <v>9781444331806</v>
      </c>
      <c r="D243" t="str">
        <f>"9781444390575"</f>
        <v>9781444390575</v>
      </c>
      <c r="E243" t="s">
        <v>26</v>
      </c>
      <c r="F243" s="1">
        <v>40602</v>
      </c>
      <c r="G243" t="s">
        <v>16</v>
      </c>
      <c r="H243">
        <v>1</v>
      </c>
      <c r="I243" t="s">
        <v>667</v>
      </c>
      <c r="J243" t="s">
        <v>925</v>
      </c>
      <c r="K243" t="s">
        <v>55</v>
      </c>
      <c r="L243">
        <v>301.09539999999998</v>
      </c>
      <c r="M243" t="s">
        <v>926</v>
      </c>
      <c r="N243" t="s">
        <v>20</v>
      </c>
    </row>
    <row r="244" spans="1:14">
      <c r="A244">
        <v>661774</v>
      </c>
      <c r="B244" t="s">
        <v>927</v>
      </c>
      <c r="C244" t="str">
        <f>"9781119108917"</f>
        <v>9781119108917</v>
      </c>
      <c r="D244" t="str">
        <f>"9781444393422"</f>
        <v>9781444393422</v>
      </c>
      <c r="E244" t="s">
        <v>26</v>
      </c>
      <c r="F244" s="1">
        <v>40609</v>
      </c>
      <c r="G244" t="s">
        <v>16</v>
      </c>
      <c r="H244">
        <v>1</v>
      </c>
      <c r="I244" t="s">
        <v>384</v>
      </c>
      <c r="J244" t="s">
        <v>928</v>
      </c>
      <c r="K244" t="s">
        <v>929</v>
      </c>
      <c r="L244">
        <v>306.44089609999997</v>
      </c>
      <c r="M244" t="s">
        <v>930</v>
      </c>
      <c r="N244" t="s">
        <v>20</v>
      </c>
    </row>
    <row r="245" spans="1:14">
      <c r="A245">
        <v>665222</v>
      </c>
      <c r="B245" t="s">
        <v>931</v>
      </c>
      <c r="C245" t="str">
        <f>"9780786444649"</f>
        <v>9780786444649</v>
      </c>
      <c r="D245" t="str">
        <f>"9780786456123"</f>
        <v>9780786456123</v>
      </c>
      <c r="E245" t="s">
        <v>641</v>
      </c>
      <c r="F245" s="1">
        <v>40436</v>
      </c>
      <c r="G245" t="s">
        <v>16</v>
      </c>
      <c r="J245" t="s">
        <v>932</v>
      </c>
      <c r="K245" t="s">
        <v>50</v>
      </c>
      <c r="L245">
        <v>973.7</v>
      </c>
      <c r="M245" t="s">
        <v>933</v>
      </c>
      <c r="N245" t="s">
        <v>20</v>
      </c>
    </row>
    <row r="246" spans="1:14">
      <c r="A246">
        <v>665230</v>
      </c>
      <c r="B246" t="s">
        <v>934</v>
      </c>
      <c r="C246" t="str">
        <f>"9780786444205"</f>
        <v>9780786444205</v>
      </c>
      <c r="D246" t="str">
        <f>"9780786458240"</f>
        <v>9780786458240</v>
      </c>
      <c r="E246" t="s">
        <v>641</v>
      </c>
      <c r="F246" s="1">
        <v>40480</v>
      </c>
      <c r="G246" t="s">
        <v>16</v>
      </c>
      <c r="J246" t="s">
        <v>935</v>
      </c>
      <c r="K246" t="s">
        <v>50</v>
      </c>
      <c r="L246">
        <v>942.01400000000001</v>
      </c>
      <c r="M246" t="s">
        <v>936</v>
      </c>
      <c r="N246" t="s">
        <v>20</v>
      </c>
    </row>
    <row r="247" spans="1:14">
      <c r="A247">
        <v>665412</v>
      </c>
      <c r="B247" t="s">
        <v>937</v>
      </c>
      <c r="C247" t="str">
        <f>"9780195189810"</f>
        <v>9780195189810</v>
      </c>
      <c r="D247" t="str">
        <f>"9780199838875"</f>
        <v>9780199838875</v>
      </c>
      <c r="E247" t="s">
        <v>703</v>
      </c>
      <c r="F247" s="1">
        <v>39037</v>
      </c>
      <c r="G247" t="s">
        <v>16</v>
      </c>
      <c r="H247">
        <v>2</v>
      </c>
      <c r="J247" t="s">
        <v>938</v>
      </c>
      <c r="K247" t="s">
        <v>138</v>
      </c>
      <c r="L247">
        <v>181</v>
      </c>
      <c r="M247" t="s">
        <v>939</v>
      </c>
      <c r="N247" t="s">
        <v>20</v>
      </c>
    </row>
    <row r="248" spans="1:14">
      <c r="A248">
        <v>665444</v>
      </c>
      <c r="B248" t="s">
        <v>940</v>
      </c>
      <c r="C248" t="str">
        <f>"9780195393194"</f>
        <v>9780195393194</v>
      </c>
      <c r="D248" t="str">
        <f>"9780199813605"</f>
        <v>9780199813605</v>
      </c>
      <c r="E248" t="s">
        <v>703</v>
      </c>
      <c r="F248" s="1">
        <v>40651</v>
      </c>
      <c r="G248" t="s">
        <v>16</v>
      </c>
      <c r="J248" t="s">
        <v>941</v>
      </c>
      <c r="K248" t="s">
        <v>155</v>
      </c>
      <c r="L248">
        <v>616.99432999999999</v>
      </c>
      <c r="M248" t="s">
        <v>942</v>
      </c>
      <c r="N248" t="s">
        <v>20</v>
      </c>
    </row>
    <row r="249" spans="1:14">
      <c r="A249">
        <v>667634</v>
      </c>
      <c r="B249" t="s">
        <v>943</v>
      </c>
      <c r="C249" t="str">
        <f>"9780521820967"</f>
        <v>9780521820967</v>
      </c>
      <c r="D249" t="str">
        <f>"9781139007924"</f>
        <v>9781139007924</v>
      </c>
      <c r="E249" t="s">
        <v>33</v>
      </c>
      <c r="F249" s="1">
        <v>40441</v>
      </c>
      <c r="G249" t="s">
        <v>16</v>
      </c>
      <c r="J249" t="s">
        <v>944</v>
      </c>
      <c r="K249" t="s">
        <v>94</v>
      </c>
      <c r="L249">
        <v>230.03</v>
      </c>
      <c r="M249" t="s">
        <v>945</v>
      </c>
      <c r="N249" t="s">
        <v>20</v>
      </c>
    </row>
    <row r="250" spans="1:14">
      <c r="A250">
        <v>675171</v>
      </c>
      <c r="B250" t="s">
        <v>946</v>
      </c>
      <c r="C250" t="str">
        <f>"9781405189774"</f>
        <v>9781405189774</v>
      </c>
      <c r="D250" t="str">
        <f>"9781444395198"</f>
        <v>9781444395198</v>
      </c>
      <c r="E250" t="s">
        <v>26</v>
      </c>
      <c r="F250" s="1">
        <v>40669</v>
      </c>
      <c r="G250" t="s">
        <v>16</v>
      </c>
      <c r="H250">
        <v>1</v>
      </c>
      <c r="I250" t="s">
        <v>947</v>
      </c>
      <c r="J250" t="s">
        <v>948</v>
      </c>
      <c r="K250" t="s">
        <v>949</v>
      </c>
      <c r="L250">
        <v>304.2</v>
      </c>
      <c r="M250" t="s">
        <v>950</v>
      </c>
      <c r="N250" t="s">
        <v>20</v>
      </c>
    </row>
    <row r="251" spans="1:14">
      <c r="A251">
        <v>675172</v>
      </c>
      <c r="B251" t="s">
        <v>951</v>
      </c>
      <c r="C251" t="str">
        <f>"9781405187787"</f>
        <v>9781405187787</v>
      </c>
      <c r="D251" t="str">
        <f>"9781444394917"</f>
        <v>9781444394917</v>
      </c>
      <c r="E251" t="s">
        <v>26</v>
      </c>
      <c r="F251" s="1">
        <v>40658</v>
      </c>
      <c r="G251" t="s">
        <v>16</v>
      </c>
      <c r="H251">
        <v>1</v>
      </c>
      <c r="I251" t="s">
        <v>667</v>
      </c>
      <c r="J251" t="s">
        <v>952</v>
      </c>
      <c r="K251" t="s">
        <v>953</v>
      </c>
      <c r="L251">
        <v>153</v>
      </c>
      <c r="M251" t="s">
        <v>954</v>
      </c>
      <c r="N251" t="s">
        <v>20</v>
      </c>
    </row>
    <row r="252" spans="1:14">
      <c r="A252">
        <v>675178</v>
      </c>
      <c r="B252" t="s">
        <v>955</v>
      </c>
      <c r="C252" t="str">
        <f>"9781444334388"</f>
        <v>9781444334388</v>
      </c>
      <c r="D252" t="str">
        <f>"9781444343106"</f>
        <v>9781444343106</v>
      </c>
      <c r="E252" t="s">
        <v>26</v>
      </c>
      <c r="F252" s="1">
        <v>40651</v>
      </c>
      <c r="G252" t="s">
        <v>16</v>
      </c>
      <c r="H252">
        <v>1</v>
      </c>
      <c r="I252" t="s">
        <v>956</v>
      </c>
      <c r="J252" t="s">
        <v>957</v>
      </c>
      <c r="K252" t="s">
        <v>394</v>
      </c>
      <c r="L252">
        <v>155.22</v>
      </c>
      <c r="M252" t="s">
        <v>958</v>
      </c>
      <c r="N252" t="s">
        <v>20</v>
      </c>
    </row>
    <row r="253" spans="1:14">
      <c r="A253">
        <v>675180</v>
      </c>
      <c r="B253" t="s">
        <v>959</v>
      </c>
      <c r="C253" t="str">
        <f>"9781405193313"</f>
        <v>9781405193313</v>
      </c>
      <c r="D253" t="str">
        <f>"9781444395136"</f>
        <v>9781444395136</v>
      </c>
      <c r="E253" t="s">
        <v>26</v>
      </c>
      <c r="F253" s="1">
        <v>40665</v>
      </c>
      <c r="G253" t="s">
        <v>16</v>
      </c>
      <c r="H253">
        <v>1</v>
      </c>
      <c r="J253" t="s">
        <v>960</v>
      </c>
      <c r="K253" t="s">
        <v>394</v>
      </c>
      <c r="L253">
        <v>158</v>
      </c>
      <c r="M253" t="s">
        <v>961</v>
      </c>
      <c r="N253" t="s">
        <v>20</v>
      </c>
    </row>
    <row r="254" spans="1:14">
      <c r="A254">
        <v>675202</v>
      </c>
      <c r="B254" t="s">
        <v>962</v>
      </c>
      <c r="C254" t="str">
        <f>"9781405189897"</f>
        <v>9781405189897</v>
      </c>
      <c r="D254" t="str">
        <f>"9781444395815"</f>
        <v>9781444395815</v>
      </c>
      <c r="E254" t="s">
        <v>26</v>
      </c>
      <c r="F254" s="1">
        <v>40665</v>
      </c>
      <c r="G254" t="s">
        <v>16</v>
      </c>
      <c r="H254">
        <v>1</v>
      </c>
      <c r="I254" t="s">
        <v>963</v>
      </c>
      <c r="J254" t="s">
        <v>964</v>
      </c>
      <c r="K254" t="s">
        <v>949</v>
      </c>
      <c r="L254">
        <v>304.2</v>
      </c>
      <c r="M254" t="s">
        <v>965</v>
      </c>
      <c r="N254" t="s">
        <v>20</v>
      </c>
    </row>
    <row r="255" spans="1:14">
      <c r="A255">
        <v>675233</v>
      </c>
      <c r="B255" t="s">
        <v>966</v>
      </c>
      <c r="C255" t="str">
        <f>"9781444331349"</f>
        <v>9781444331349</v>
      </c>
      <c r="D255" t="str">
        <f>"9781444396669"</f>
        <v>9781444396669</v>
      </c>
      <c r="E255" t="s">
        <v>26</v>
      </c>
      <c r="F255" s="1">
        <v>40701</v>
      </c>
      <c r="G255" t="s">
        <v>16</v>
      </c>
      <c r="H255">
        <v>2</v>
      </c>
      <c r="I255" t="s">
        <v>967</v>
      </c>
      <c r="J255" t="s">
        <v>968</v>
      </c>
      <c r="K255" t="s">
        <v>969</v>
      </c>
      <c r="L255">
        <v>241</v>
      </c>
      <c r="M255" t="s">
        <v>970</v>
      </c>
      <c r="N255" t="s">
        <v>20</v>
      </c>
    </row>
    <row r="256" spans="1:14">
      <c r="A256">
        <v>675245</v>
      </c>
      <c r="B256" t="s">
        <v>971</v>
      </c>
      <c r="C256" t="str">
        <f>"9780470882559"</f>
        <v>9780470882559</v>
      </c>
      <c r="D256" t="str">
        <f>"9781118019412"</f>
        <v>9781118019412</v>
      </c>
      <c r="E256" t="s">
        <v>26</v>
      </c>
      <c r="F256" s="1">
        <v>40659</v>
      </c>
      <c r="G256" t="s">
        <v>16</v>
      </c>
      <c r="H256">
        <v>1</v>
      </c>
      <c r="J256" t="s">
        <v>972</v>
      </c>
      <c r="K256" t="s">
        <v>29</v>
      </c>
      <c r="L256">
        <v>657.2</v>
      </c>
      <c r="M256" t="s">
        <v>973</v>
      </c>
      <c r="N256" t="s">
        <v>20</v>
      </c>
    </row>
    <row r="257" spans="1:14">
      <c r="A257">
        <v>677214</v>
      </c>
      <c r="B257" t="s">
        <v>974</v>
      </c>
      <c r="C257" t="str">
        <f>"9789622099524"</f>
        <v>9789622099524</v>
      </c>
      <c r="D257" t="str">
        <f>"9789888052028"</f>
        <v>9789888052028</v>
      </c>
      <c r="E257" t="s">
        <v>975</v>
      </c>
      <c r="F257" s="1">
        <v>30682</v>
      </c>
      <c r="G257" t="s">
        <v>16</v>
      </c>
      <c r="H257">
        <v>4</v>
      </c>
      <c r="J257" t="s">
        <v>976</v>
      </c>
      <c r="K257" t="s">
        <v>155</v>
      </c>
      <c r="L257" t="s">
        <v>977</v>
      </c>
      <c r="M257" t="s">
        <v>978</v>
      </c>
      <c r="N257" t="s">
        <v>20</v>
      </c>
    </row>
    <row r="258" spans="1:14">
      <c r="A258">
        <v>679300</v>
      </c>
      <c r="B258" t="s">
        <v>979</v>
      </c>
      <c r="C258" t="str">
        <f>"9780786447855"</f>
        <v>9780786447855</v>
      </c>
      <c r="D258" t="str">
        <f>"9780786484829"</f>
        <v>9780786484829</v>
      </c>
      <c r="E258" t="s">
        <v>641</v>
      </c>
      <c r="F258" s="1">
        <v>40604</v>
      </c>
      <c r="G258" t="s">
        <v>16</v>
      </c>
      <c r="H258">
        <v>0</v>
      </c>
      <c r="J258" t="s">
        <v>980</v>
      </c>
      <c r="K258" t="s">
        <v>632</v>
      </c>
      <c r="L258" t="s">
        <v>981</v>
      </c>
      <c r="M258" t="s">
        <v>982</v>
      </c>
      <c r="N258" t="s">
        <v>20</v>
      </c>
    </row>
    <row r="259" spans="1:14">
      <c r="A259">
        <v>679420</v>
      </c>
      <c r="B259" t="s">
        <v>983</v>
      </c>
      <c r="C259" t="str">
        <f>"9780195179422"</f>
        <v>9780195179422</v>
      </c>
      <c r="D259" t="str">
        <f>"9780199720712"</f>
        <v>9780199720712</v>
      </c>
      <c r="E259" t="s">
        <v>703</v>
      </c>
      <c r="F259" s="1">
        <v>40658</v>
      </c>
      <c r="G259" t="s">
        <v>16</v>
      </c>
      <c r="J259" t="s">
        <v>984</v>
      </c>
      <c r="K259" t="s">
        <v>985</v>
      </c>
      <c r="L259">
        <v>306.36209200000002</v>
      </c>
      <c r="M259" t="s">
        <v>986</v>
      </c>
      <c r="N259" t="s">
        <v>20</v>
      </c>
    </row>
    <row r="260" spans="1:14">
      <c r="A260">
        <v>684624</v>
      </c>
      <c r="B260" t="s">
        <v>987</v>
      </c>
      <c r="C260" t="str">
        <f>"9780195093872"</f>
        <v>9780195093872</v>
      </c>
      <c r="D260" t="str">
        <f>"9780199774661"</f>
        <v>9780199774661</v>
      </c>
      <c r="E260" t="s">
        <v>750</v>
      </c>
      <c r="F260" s="1">
        <v>34753</v>
      </c>
      <c r="G260" t="s">
        <v>16</v>
      </c>
      <c r="J260" t="s">
        <v>988</v>
      </c>
      <c r="K260" t="s">
        <v>269</v>
      </c>
      <c r="L260" t="s">
        <v>989</v>
      </c>
      <c r="M260" t="s">
        <v>990</v>
      </c>
      <c r="N260" t="s">
        <v>20</v>
      </c>
    </row>
    <row r="261" spans="1:14">
      <c r="A261">
        <v>687001</v>
      </c>
      <c r="B261" t="s">
        <v>991</v>
      </c>
      <c r="C261" t="str">
        <f>"9780786443567"</f>
        <v>9780786443567</v>
      </c>
      <c r="D261" t="str">
        <f>"9780786486434"</f>
        <v>9780786486434</v>
      </c>
      <c r="E261" t="s">
        <v>641</v>
      </c>
      <c r="F261" s="1">
        <v>40633</v>
      </c>
      <c r="G261" t="s">
        <v>16</v>
      </c>
      <c r="J261" t="s">
        <v>992</v>
      </c>
      <c r="K261" t="s">
        <v>35</v>
      </c>
      <c r="L261">
        <v>759.13</v>
      </c>
      <c r="M261" t="s">
        <v>993</v>
      </c>
      <c r="N261" t="s">
        <v>20</v>
      </c>
    </row>
    <row r="262" spans="1:14">
      <c r="A262">
        <v>687003</v>
      </c>
      <c r="B262" t="s">
        <v>994</v>
      </c>
      <c r="C262" t="str">
        <f>"9780786460748"</f>
        <v>9780786460748</v>
      </c>
      <c r="D262" t="str">
        <f>"9780786485406"</f>
        <v>9780786485406</v>
      </c>
      <c r="E262" t="s">
        <v>641</v>
      </c>
      <c r="F262" s="1">
        <v>40633</v>
      </c>
      <c r="G262" t="s">
        <v>16</v>
      </c>
      <c r="H262">
        <v>2</v>
      </c>
      <c r="J262" t="s">
        <v>995</v>
      </c>
      <c r="K262" t="s">
        <v>55</v>
      </c>
      <c r="L262">
        <v>394.26459999999997</v>
      </c>
      <c r="M262" t="s">
        <v>996</v>
      </c>
      <c r="N262" t="s">
        <v>20</v>
      </c>
    </row>
    <row r="263" spans="1:14">
      <c r="A263">
        <v>687014</v>
      </c>
      <c r="B263" t="s">
        <v>997</v>
      </c>
      <c r="C263" t="str">
        <f>"9780786449859"</f>
        <v>9780786449859</v>
      </c>
      <c r="D263" t="str">
        <f>"9780786486120"</f>
        <v>9780786486120</v>
      </c>
      <c r="E263" t="s">
        <v>641</v>
      </c>
      <c r="F263" s="1">
        <v>40645</v>
      </c>
      <c r="G263" t="s">
        <v>16</v>
      </c>
      <c r="H263">
        <v>2</v>
      </c>
      <c r="J263" t="s">
        <v>998</v>
      </c>
      <c r="K263" t="s">
        <v>35</v>
      </c>
      <c r="L263" t="s">
        <v>999</v>
      </c>
      <c r="M263" t="s">
        <v>1000</v>
      </c>
      <c r="N263" t="s">
        <v>20</v>
      </c>
    </row>
    <row r="264" spans="1:14">
      <c r="A264">
        <v>687016</v>
      </c>
      <c r="B264" t="s">
        <v>1001</v>
      </c>
      <c r="C264" t="str">
        <f>"9780786458509"</f>
        <v>9780786458509</v>
      </c>
      <c r="D264" t="str">
        <f>"9780786485468"</f>
        <v>9780786485468</v>
      </c>
      <c r="E264" t="s">
        <v>641</v>
      </c>
      <c r="F264" s="1">
        <v>40624</v>
      </c>
      <c r="G264" t="s">
        <v>16</v>
      </c>
      <c r="I264" t="s">
        <v>642</v>
      </c>
      <c r="J264" t="s">
        <v>1002</v>
      </c>
      <c r="K264" t="s">
        <v>18</v>
      </c>
      <c r="L264">
        <v>813.54</v>
      </c>
      <c r="M264" t="s">
        <v>1003</v>
      </c>
      <c r="N264" t="s">
        <v>20</v>
      </c>
    </row>
    <row r="265" spans="1:14">
      <c r="A265">
        <v>689304</v>
      </c>
      <c r="B265" t="s">
        <v>1004</v>
      </c>
      <c r="C265" t="str">
        <f>"9780195386097"</f>
        <v>9780195386097</v>
      </c>
      <c r="D265" t="str">
        <f>"9780199749829"</f>
        <v>9780199749829</v>
      </c>
      <c r="E265" t="s">
        <v>703</v>
      </c>
      <c r="F265" s="1">
        <v>40704</v>
      </c>
      <c r="G265" t="s">
        <v>16</v>
      </c>
      <c r="J265" t="s">
        <v>1005</v>
      </c>
      <c r="K265" t="s">
        <v>1006</v>
      </c>
      <c r="L265" t="s">
        <v>1007</v>
      </c>
      <c r="M265" t="s">
        <v>1008</v>
      </c>
      <c r="N265" t="s">
        <v>20</v>
      </c>
    </row>
    <row r="266" spans="1:14">
      <c r="A266">
        <v>689482</v>
      </c>
      <c r="B266" t="s">
        <v>1009</v>
      </c>
      <c r="C266" t="str">
        <f>"9781412935296"</f>
        <v>9781412935296</v>
      </c>
      <c r="D266" t="str">
        <f>"9781446209608"</f>
        <v>9781446209608</v>
      </c>
      <c r="E266" t="s">
        <v>193</v>
      </c>
      <c r="F266" s="1">
        <v>40556</v>
      </c>
      <c r="G266" t="s">
        <v>16</v>
      </c>
      <c r="H266">
        <v>1</v>
      </c>
      <c r="J266" t="s">
        <v>1010</v>
      </c>
      <c r="K266" t="s">
        <v>29</v>
      </c>
      <c r="L266">
        <v>658.40340000000003</v>
      </c>
      <c r="M266" t="s">
        <v>1011</v>
      </c>
      <c r="N266" t="s">
        <v>20</v>
      </c>
    </row>
    <row r="267" spans="1:14">
      <c r="A267">
        <v>693784</v>
      </c>
      <c r="B267" t="s">
        <v>1012</v>
      </c>
      <c r="C267" t="str">
        <f>"9781405185370"</f>
        <v>9781405185370</v>
      </c>
      <c r="D267" t="str">
        <f>"9781444396324"</f>
        <v>9781444396324</v>
      </c>
      <c r="E267" t="s">
        <v>26</v>
      </c>
      <c r="F267" s="1">
        <v>40679</v>
      </c>
      <c r="G267" t="s">
        <v>16</v>
      </c>
      <c r="H267">
        <v>1</v>
      </c>
      <c r="J267" t="s">
        <v>1013</v>
      </c>
      <c r="K267" t="s">
        <v>35</v>
      </c>
      <c r="L267">
        <v>709.5</v>
      </c>
      <c r="M267" t="s">
        <v>1014</v>
      </c>
      <c r="N267" t="s">
        <v>20</v>
      </c>
    </row>
    <row r="268" spans="1:14">
      <c r="A268">
        <v>693970</v>
      </c>
      <c r="B268" t="s">
        <v>1015</v>
      </c>
      <c r="C268" t="str">
        <f>"9780199566846"</f>
        <v>9780199566846</v>
      </c>
      <c r="D268" t="str">
        <f>"9780191604294"</f>
        <v>9780191604294</v>
      </c>
      <c r="E268" t="s">
        <v>750</v>
      </c>
      <c r="F268" s="1">
        <v>40648</v>
      </c>
      <c r="G268" t="s">
        <v>16</v>
      </c>
      <c r="I268" t="s">
        <v>1016</v>
      </c>
      <c r="J268" t="s">
        <v>1017</v>
      </c>
      <c r="K268" t="s">
        <v>103</v>
      </c>
      <c r="L268">
        <v>530.12090000000001</v>
      </c>
      <c r="M268" t="s">
        <v>1018</v>
      </c>
      <c r="N268" t="s">
        <v>20</v>
      </c>
    </row>
    <row r="269" spans="1:14">
      <c r="A269">
        <v>697575</v>
      </c>
      <c r="B269" t="s">
        <v>1019</v>
      </c>
      <c r="C269" t="str">
        <f>"9780470643655"</f>
        <v>9780470643655</v>
      </c>
      <c r="D269" t="str">
        <f>"9781118115909"</f>
        <v>9781118115909</v>
      </c>
      <c r="E269" t="s">
        <v>26</v>
      </c>
      <c r="F269" s="1">
        <v>40855</v>
      </c>
      <c r="G269" t="s">
        <v>16</v>
      </c>
      <c r="H269">
        <v>2</v>
      </c>
      <c r="J269" t="s">
        <v>1020</v>
      </c>
      <c r="K269" t="s">
        <v>632</v>
      </c>
      <c r="L269" t="s">
        <v>1021</v>
      </c>
      <c r="M269" t="s">
        <v>1022</v>
      </c>
      <c r="N269" t="s">
        <v>20</v>
      </c>
    </row>
    <row r="270" spans="1:14">
      <c r="A270">
        <v>697593</v>
      </c>
      <c r="B270" t="s">
        <v>1023</v>
      </c>
      <c r="C270" t="str">
        <f>"9780470683842"</f>
        <v>9780470683842</v>
      </c>
      <c r="D270" t="str">
        <f>"9781119998563"</f>
        <v>9781119998563</v>
      </c>
      <c r="E270" t="s">
        <v>26</v>
      </c>
      <c r="F270" s="1">
        <v>40756</v>
      </c>
      <c r="G270" t="s">
        <v>16</v>
      </c>
      <c r="H270">
        <v>1</v>
      </c>
      <c r="J270" t="s">
        <v>1024</v>
      </c>
      <c r="K270" t="s">
        <v>1025</v>
      </c>
      <c r="L270">
        <v>616.85844499999996</v>
      </c>
      <c r="M270" t="s">
        <v>1026</v>
      </c>
      <c r="N270" t="s">
        <v>20</v>
      </c>
    </row>
    <row r="271" spans="1:14">
      <c r="A271">
        <v>697761</v>
      </c>
      <c r="B271" t="s">
        <v>1027</v>
      </c>
      <c r="C271" t="str">
        <f>"9781118650998"</f>
        <v>9781118650998</v>
      </c>
      <c r="D271" t="str">
        <f>"9781444342468"</f>
        <v>9781444342468</v>
      </c>
      <c r="E271" t="s">
        <v>26</v>
      </c>
      <c r="F271" s="1">
        <v>40694</v>
      </c>
      <c r="G271" t="s">
        <v>16</v>
      </c>
      <c r="H271">
        <v>1</v>
      </c>
      <c r="I271" t="s">
        <v>1028</v>
      </c>
      <c r="J271" t="s">
        <v>1029</v>
      </c>
      <c r="K271" t="s">
        <v>603</v>
      </c>
      <c r="L271">
        <v>599.93803000000003</v>
      </c>
      <c r="M271" t="s">
        <v>1030</v>
      </c>
      <c r="N271" t="s">
        <v>20</v>
      </c>
    </row>
    <row r="272" spans="1:14">
      <c r="A272">
        <v>697896</v>
      </c>
      <c r="B272" t="s">
        <v>1031</v>
      </c>
      <c r="C272" t="str">
        <f>"9781405191319"</f>
        <v>9781405191319</v>
      </c>
      <c r="D272" t="str">
        <f>"9781444395723"</f>
        <v>9781444395723</v>
      </c>
      <c r="E272" t="s">
        <v>26</v>
      </c>
      <c r="F272" s="1">
        <v>40679</v>
      </c>
      <c r="G272" t="s">
        <v>16</v>
      </c>
      <c r="H272">
        <v>1</v>
      </c>
      <c r="I272" t="s">
        <v>1032</v>
      </c>
      <c r="J272" t="s">
        <v>1033</v>
      </c>
      <c r="K272" t="s">
        <v>94</v>
      </c>
      <c r="L272" t="s">
        <v>1034</v>
      </c>
      <c r="M272" t="s">
        <v>1035</v>
      </c>
      <c r="N272" t="s">
        <v>20</v>
      </c>
    </row>
    <row r="273" spans="1:14">
      <c r="A273">
        <v>700583</v>
      </c>
      <c r="B273" t="s">
        <v>1036</v>
      </c>
      <c r="C273" t="str">
        <f>"9781405161848"</f>
        <v>9781405161848</v>
      </c>
      <c r="D273" t="str">
        <f>"9781118779064"</f>
        <v>9781118779064</v>
      </c>
      <c r="E273" t="s">
        <v>26</v>
      </c>
      <c r="F273" s="1">
        <v>40561</v>
      </c>
      <c r="G273" t="s">
        <v>16</v>
      </c>
      <c r="H273">
        <v>1</v>
      </c>
      <c r="I273" t="s">
        <v>1037</v>
      </c>
      <c r="J273" t="s">
        <v>1038</v>
      </c>
      <c r="K273" t="s">
        <v>18</v>
      </c>
      <c r="L273" t="s">
        <v>1039</v>
      </c>
      <c r="M273" t="s">
        <v>1040</v>
      </c>
      <c r="N273" t="s">
        <v>20</v>
      </c>
    </row>
    <row r="274" spans="1:14">
      <c r="A274">
        <v>700624</v>
      </c>
      <c r="B274" t="s">
        <v>1041</v>
      </c>
      <c r="C274" t="str">
        <f>"9781405188449"</f>
        <v>9781405188449</v>
      </c>
      <c r="D274" t="str">
        <f>"9781444395754"</f>
        <v>9781444395754</v>
      </c>
      <c r="E274" t="s">
        <v>26</v>
      </c>
      <c r="F274" s="1">
        <v>40669</v>
      </c>
      <c r="G274" t="s">
        <v>16</v>
      </c>
      <c r="H274">
        <v>1</v>
      </c>
      <c r="I274" t="s">
        <v>555</v>
      </c>
      <c r="J274" t="s">
        <v>1042</v>
      </c>
      <c r="K274" t="s">
        <v>94</v>
      </c>
      <c r="L274" t="s">
        <v>1043</v>
      </c>
      <c r="M274" t="s">
        <v>1044</v>
      </c>
      <c r="N274" t="s">
        <v>20</v>
      </c>
    </row>
    <row r="275" spans="1:14">
      <c r="A275">
        <v>706571</v>
      </c>
      <c r="B275" t="s">
        <v>1045</v>
      </c>
      <c r="C275" t="str">
        <f>"9780470393352"</f>
        <v>9780470393352</v>
      </c>
      <c r="D275" t="str">
        <f>"9780470949184"</f>
        <v>9780470949184</v>
      </c>
      <c r="E275" t="s">
        <v>26</v>
      </c>
      <c r="F275" s="1">
        <v>40624</v>
      </c>
      <c r="G275" t="s">
        <v>16</v>
      </c>
      <c r="H275">
        <v>1</v>
      </c>
      <c r="J275" t="s">
        <v>1046</v>
      </c>
      <c r="K275" t="s">
        <v>18</v>
      </c>
      <c r="L275">
        <v>808.04200000000003</v>
      </c>
      <c r="M275" t="s">
        <v>1047</v>
      </c>
      <c r="N275" t="s">
        <v>20</v>
      </c>
    </row>
    <row r="276" spans="1:14">
      <c r="A276">
        <v>706652</v>
      </c>
      <c r="B276" t="s">
        <v>1048</v>
      </c>
      <c r="C276" t="str">
        <f>"9780470525135"</f>
        <v>9780470525135</v>
      </c>
      <c r="D276" t="str">
        <f>"9781118001356"</f>
        <v>9781118001356</v>
      </c>
      <c r="E276" t="s">
        <v>26</v>
      </c>
      <c r="F276" s="1">
        <v>40603</v>
      </c>
      <c r="G276" t="s">
        <v>16</v>
      </c>
      <c r="H276">
        <v>2</v>
      </c>
      <c r="I276" t="s">
        <v>812</v>
      </c>
      <c r="J276" t="s">
        <v>1049</v>
      </c>
      <c r="K276" t="s">
        <v>1050</v>
      </c>
      <c r="L276" t="s">
        <v>1051</v>
      </c>
      <c r="M276" t="s">
        <v>1052</v>
      </c>
      <c r="N276" t="s">
        <v>20</v>
      </c>
    </row>
    <row r="277" spans="1:14">
      <c r="A277">
        <v>712125</v>
      </c>
      <c r="B277" t="s">
        <v>1053</v>
      </c>
      <c r="C277" t="str">
        <f>"9780470742709"</f>
        <v>9780470742709</v>
      </c>
      <c r="D277" t="str">
        <f>"9781119996019"</f>
        <v>9781119996019</v>
      </c>
      <c r="E277" t="s">
        <v>26</v>
      </c>
      <c r="F277" s="1">
        <v>40932</v>
      </c>
      <c r="G277" t="s">
        <v>16</v>
      </c>
      <c r="H277">
        <v>1</v>
      </c>
      <c r="J277" t="s">
        <v>1054</v>
      </c>
      <c r="K277" t="s">
        <v>1055</v>
      </c>
      <c r="L277">
        <v>808.06637799999999</v>
      </c>
      <c r="M277" t="s">
        <v>1056</v>
      </c>
      <c r="N277" t="s">
        <v>20</v>
      </c>
    </row>
    <row r="278" spans="1:14">
      <c r="A278">
        <v>716703</v>
      </c>
      <c r="B278" t="s">
        <v>1057</v>
      </c>
      <c r="C278" t="str">
        <f>"9780199743506"</f>
        <v>9780199743506</v>
      </c>
      <c r="D278" t="str">
        <f>"9780199876785"</f>
        <v>9780199876785</v>
      </c>
      <c r="E278" t="s">
        <v>703</v>
      </c>
      <c r="F278" s="1">
        <v>40669</v>
      </c>
      <c r="G278" t="s">
        <v>16</v>
      </c>
      <c r="I278" t="s">
        <v>1058</v>
      </c>
      <c r="J278" t="s">
        <v>1059</v>
      </c>
      <c r="K278" t="s">
        <v>155</v>
      </c>
      <c r="L278">
        <v>616.79999999999995</v>
      </c>
      <c r="M278" t="s">
        <v>1060</v>
      </c>
      <c r="N278" t="s">
        <v>20</v>
      </c>
    </row>
    <row r="279" spans="1:14">
      <c r="A279">
        <v>717457</v>
      </c>
      <c r="B279" t="s">
        <v>1061</v>
      </c>
      <c r="C279" t="str">
        <f>"9789004187405"</f>
        <v>9789004187405</v>
      </c>
      <c r="D279" t="str">
        <f>"9789004190085"</f>
        <v>9789004190085</v>
      </c>
      <c r="E279" t="s">
        <v>468</v>
      </c>
      <c r="F279" s="1">
        <v>40532</v>
      </c>
      <c r="G279" t="s">
        <v>16</v>
      </c>
      <c r="H279">
        <v>1</v>
      </c>
      <c r="I279" t="s">
        <v>1062</v>
      </c>
      <c r="J279" t="s">
        <v>1063</v>
      </c>
      <c r="K279" t="s">
        <v>386</v>
      </c>
      <c r="L279" t="s">
        <v>1064</v>
      </c>
      <c r="M279" t="s">
        <v>1065</v>
      </c>
      <c r="N279" t="s">
        <v>20</v>
      </c>
    </row>
    <row r="280" spans="1:14">
      <c r="A280">
        <v>717927</v>
      </c>
      <c r="B280" t="s">
        <v>1066</v>
      </c>
      <c r="C280" t="str">
        <f>"9781615305285"</f>
        <v>9781615305285</v>
      </c>
      <c r="D280" t="str">
        <f>"9781615305773"</f>
        <v>9781615305773</v>
      </c>
      <c r="E280" t="s">
        <v>761</v>
      </c>
      <c r="F280" s="1">
        <v>40756</v>
      </c>
      <c r="G280" t="s">
        <v>16</v>
      </c>
      <c r="H280">
        <v>1</v>
      </c>
      <c r="I280" t="s">
        <v>1067</v>
      </c>
      <c r="J280" t="s">
        <v>1068</v>
      </c>
      <c r="K280" t="s">
        <v>309</v>
      </c>
      <c r="L280">
        <v>796.32299999999998</v>
      </c>
      <c r="M280" t="s">
        <v>1069</v>
      </c>
      <c r="N280" t="s">
        <v>20</v>
      </c>
    </row>
    <row r="281" spans="1:14">
      <c r="A281">
        <v>717937</v>
      </c>
      <c r="B281" t="s">
        <v>1070</v>
      </c>
      <c r="C281" t="str">
        <f>"9781615304929"</f>
        <v>9781615304929</v>
      </c>
      <c r="D281" t="str">
        <f>"9781615305414"</f>
        <v>9781615305414</v>
      </c>
      <c r="E281" t="s">
        <v>761</v>
      </c>
      <c r="F281" s="1">
        <v>40756</v>
      </c>
      <c r="G281" t="s">
        <v>16</v>
      </c>
      <c r="H281">
        <v>1</v>
      </c>
      <c r="I281" t="s">
        <v>1071</v>
      </c>
      <c r="J281" t="s">
        <v>1072</v>
      </c>
      <c r="K281" t="s">
        <v>1073</v>
      </c>
      <c r="L281">
        <v>552</v>
      </c>
      <c r="M281" t="s">
        <v>1074</v>
      </c>
      <c r="N281" t="s">
        <v>20</v>
      </c>
    </row>
    <row r="282" spans="1:14">
      <c r="A282">
        <v>728730</v>
      </c>
      <c r="B282" t="s">
        <v>1075</v>
      </c>
      <c r="C282" t="str">
        <f>"9780199681037"</f>
        <v>9780199681037</v>
      </c>
      <c r="D282" t="str">
        <f>"9780191576706"</f>
        <v>9780191576706</v>
      </c>
      <c r="E282" t="s">
        <v>703</v>
      </c>
      <c r="F282" s="1">
        <v>40714</v>
      </c>
      <c r="G282" t="s">
        <v>16</v>
      </c>
      <c r="I282" t="s">
        <v>1076</v>
      </c>
      <c r="J282" t="s">
        <v>1077</v>
      </c>
      <c r="K282" t="s">
        <v>138</v>
      </c>
      <c r="L282">
        <v>170</v>
      </c>
      <c r="M282" t="s">
        <v>1078</v>
      </c>
      <c r="N282" t="s">
        <v>20</v>
      </c>
    </row>
    <row r="283" spans="1:14">
      <c r="A283">
        <v>728731</v>
      </c>
      <c r="B283" t="s">
        <v>1079</v>
      </c>
      <c r="C283" t="str">
        <f>"9780199681044"</f>
        <v>9780199681044</v>
      </c>
      <c r="D283" t="str">
        <f>"9780191576713"</f>
        <v>9780191576713</v>
      </c>
      <c r="E283" t="s">
        <v>703</v>
      </c>
      <c r="F283" s="1">
        <v>40714</v>
      </c>
      <c r="G283" t="s">
        <v>16</v>
      </c>
      <c r="I283" t="s">
        <v>1076</v>
      </c>
      <c r="J283" t="s">
        <v>1077</v>
      </c>
      <c r="K283" t="s">
        <v>138</v>
      </c>
      <c r="L283">
        <v>170</v>
      </c>
      <c r="M283" t="s">
        <v>1078</v>
      </c>
      <c r="N283" t="s">
        <v>20</v>
      </c>
    </row>
    <row r="284" spans="1:14">
      <c r="A284">
        <v>728761</v>
      </c>
      <c r="B284" t="s">
        <v>1080</v>
      </c>
      <c r="C284" t="str">
        <f>"9780199753857"</f>
        <v>9780199753857</v>
      </c>
      <c r="D284" t="str">
        <f>"9780199842513"</f>
        <v>9780199842513</v>
      </c>
      <c r="E284" t="s">
        <v>703</v>
      </c>
      <c r="F284" s="1">
        <v>40721</v>
      </c>
      <c r="G284" t="s">
        <v>16</v>
      </c>
      <c r="I284" t="s">
        <v>1081</v>
      </c>
      <c r="J284" t="s">
        <v>1082</v>
      </c>
      <c r="K284" t="s">
        <v>246</v>
      </c>
      <c r="L284">
        <v>618.91999999999996</v>
      </c>
      <c r="M284" t="s">
        <v>1083</v>
      </c>
      <c r="N284" t="s">
        <v>20</v>
      </c>
    </row>
    <row r="285" spans="1:14">
      <c r="A285">
        <v>731202</v>
      </c>
      <c r="B285" t="s">
        <v>1084</v>
      </c>
      <c r="C285" t="str">
        <f>"9789812836052"</f>
        <v>9789812836052</v>
      </c>
      <c r="D285" t="str">
        <f>"9789812836069"</f>
        <v>9789812836069</v>
      </c>
      <c r="E285" t="s">
        <v>1085</v>
      </c>
      <c r="F285" s="1">
        <v>40295</v>
      </c>
      <c r="G285" t="s">
        <v>16</v>
      </c>
      <c r="J285" t="s">
        <v>1086</v>
      </c>
      <c r="K285" t="s">
        <v>29</v>
      </c>
      <c r="L285">
        <v>658.40380110000001</v>
      </c>
      <c r="M285" t="s">
        <v>1087</v>
      </c>
      <c r="N285" t="s">
        <v>20</v>
      </c>
    </row>
    <row r="286" spans="1:14">
      <c r="A286">
        <v>735599</v>
      </c>
      <c r="B286" t="s">
        <v>1088</v>
      </c>
      <c r="C286" t="str">
        <f>""</f>
        <v/>
      </c>
      <c r="D286" t="str">
        <f>"9781615355167"</f>
        <v>9781615355167</v>
      </c>
      <c r="E286" t="s">
        <v>273</v>
      </c>
      <c r="F286" s="1">
        <v>40544</v>
      </c>
      <c r="G286" t="s">
        <v>16</v>
      </c>
      <c r="H286">
        <v>1</v>
      </c>
      <c r="I286" t="s">
        <v>1089</v>
      </c>
      <c r="J286" t="s">
        <v>570</v>
      </c>
      <c r="K286" t="s">
        <v>474</v>
      </c>
      <c r="L286">
        <v>31</v>
      </c>
      <c r="M286" t="s">
        <v>1090</v>
      </c>
      <c r="N286" t="s">
        <v>1091</v>
      </c>
    </row>
    <row r="287" spans="1:14">
      <c r="A287">
        <v>737309</v>
      </c>
      <c r="B287" t="s">
        <v>1092</v>
      </c>
      <c r="C287" t="str">
        <f>"9780195389722"</f>
        <v>9780195389722</v>
      </c>
      <c r="D287" t="str">
        <f>"9780199830763"</f>
        <v>9780199830763</v>
      </c>
      <c r="E287" t="s">
        <v>703</v>
      </c>
      <c r="F287" s="1">
        <v>40697</v>
      </c>
      <c r="G287" t="s">
        <v>16</v>
      </c>
      <c r="I287" t="s">
        <v>782</v>
      </c>
      <c r="J287" t="s">
        <v>1093</v>
      </c>
      <c r="K287" t="s">
        <v>155</v>
      </c>
      <c r="L287">
        <v>616.07539999999995</v>
      </c>
      <c r="M287" t="s">
        <v>1094</v>
      </c>
      <c r="N287" t="s">
        <v>20</v>
      </c>
    </row>
    <row r="288" spans="1:14">
      <c r="A288">
        <v>737472</v>
      </c>
      <c r="B288" t="s">
        <v>1095</v>
      </c>
      <c r="C288" t="str">
        <f>"9780199766413"</f>
        <v>9780199766413</v>
      </c>
      <c r="D288" t="str">
        <f>"9780199830497"</f>
        <v>9780199830497</v>
      </c>
      <c r="E288" t="s">
        <v>703</v>
      </c>
      <c r="F288" s="1">
        <v>40780</v>
      </c>
      <c r="G288" t="s">
        <v>16</v>
      </c>
      <c r="J288" t="s">
        <v>1096</v>
      </c>
      <c r="K288" t="s">
        <v>423</v>
      </c>
      <c r="L288" t="s">
        <v>1097</v>
      </c>
      <c r="M288" t="s">
        <v>1098</v>
      </c>
      <c r="N288" t="s">
        <v>20</v>
      </c>
    </row>
    <row r="289" spans="1:14">
      <c r="A289">
        <v>746668</v>
      </c>
      <c r="B289" t="s">
        <v>1099</v>
      </c>
      <c r="C289" t="str">
        <f>"9780199773879"</f>
        <v>9780199773879</v>
      </c>
      <c r="D289" t="str">
        <f>"9780199782277"</f>
        <v>9780199782277</v>
      </c>
      <c r="E289" t="s">
        <v>750</v>
      </c>
      <c r="F289" s="1">
        <v>40795</v>
      </c>
      <c r="G289" t="s">
        <v>16</v>
      </c>
      <c r="I289" t="s">
        <v>1100</v>
      </c>
      <c r="J289" t="s">
        <v>1101</v>
      </c>
      <c r="K289" t="s">
        <v>1102</v>
      </c>
      <c r="L289">
        <v>972</v>
      </c>
      <c r="M289" t="s">
        <v>1103</v>
      </c>
      <c r="N289" t="s">
        <v>20</v>
      </c>
    </row>
    <row r="290" spans="1:14">
      <c r="A290">
        <v>746747</v>
      </c>
      <c r="B290" t="s">
        <v>1104</v>
      </c>
      <c r="C290" t="str">
        <f>"9780199567935"</f>
        <v>9780199567935</v>
      </c>
      <c r="D290" t="str">
        <f>"9780191573279"</f>
        <v>9780191573279</v>
      </c>
      <c r="E290" t="s">
        <v>750</v>
      </c>
      <c r="F290" s="1">
        <v>40811</v>
      </c>
      <c r="G290" t="s">
        <v>16</v>
      </c>
      <c r="I290" t="s">
        <v>1105</v>
      </c>
      <c r="J290" t="s">
        <v>1106</v>
      </c>
      <c r="K290" t="s">
        <v>246</v>
      </c>
      <c r="L290" t="s">
        <v>1107</v>
      </c>
      <c r="M290" t="s">
        <v>1108</v>
      </c>
      <c r="N290" t="s">
        <v>20</v>
      </c>
    </row>
    <row r="291" spans="1:14">
      <c r="A291">
        <v>765158</v>
      </c>
      <c r="B291" t="s">
        <v>1109</v>
      </c>
      <c r="C291" t="str">
        <f>"9780786461516"</f>
        <v>9780786461516</v>
      </c>
      <c r="D291" t="str">
        <f>"9780786486939"</f>
        <v>9780786486939</v>
      </c>
      <c r="E291" t="s">
        <v>641</v>
      </c>
      <c r="F291" s="1">
        <v>40707</v>
      </c>
      <c r="G291" t="s">
        <v>16</v>
      </c>
      <c r="I291" t="s">
        <v>642</v>
      </c>
      <c r="J291" t="s">
        <v>1110</v>
      </c>
      <c r="K291" t="s">
        <v>18</v>
      </c>
      <c r="L291" t="s">
        <v>644</v>
      </c>
      <c r="M291" t="s">
        <v>1111</v>
      </c>
      <c r="N291" t="s">
        <v>20</v>
      </c>
    </row>
    <row r="292" spans="1:14">
      <c r="A292">
        <v>766109</v>
      </c>
      <c r="B292" t="s">
        <v>1112</v>
      </c>
      <c r="C292" t="str">
        <f>"9781604266146"</f>
        <v>9781604266146</v>
      </c>
      <c r="D292" t="str">
        <f>"9781506306230"</f>
        <v>9781506306230</v>
      </c>
      <c r="E292" t="s">
        <v>1113</v>
      </c>
      <c r="F292" s="1">
        <v>40683</v>
      </c>
      <c r="G292" t="s">
        <v>16</v>
      </c>
      <c r="H292">
        <v>1</v>
      </c>
      <c r="J292" t="s">
        <v>1114</v>
      </c>
      <c r="K292" t="s">
        <v>1115</v>
      </c>
      <c r="L292" t="s">
        <v>1116</v>
      </c>
      <c r="M292" t="s">
        <v>1117</v>
      </c>
      <c r="N292" t="s">
        <v>20</v>
      </c>
    </row>
    <row r="293" spans="1:14">
      <c r="A293">
        <v>773282</v>
      </c>
      <c r="B293" t="s">
        <v>1118</v>
      </c>
      <c r="C293" t="str">
        <f>"9780786435906"</f>
        <v>9780786435906</v>
      </c>
      <c r="D293" t="str">
        <f>"9780786489176"</f>
        <v>9780786489176</v>
      </c>
      <c r="E293" t="s">
        <v>641</v>
      </c>
      <c r="F293" s="1">
        <v>40753</v>
      </c>
      <c r="G293" t="s">
        <v>16</v>
      </c>
      <c r="H293">
        <v>2</v>
      </c>
      <c r="J293" t="s">
        <v>1119</v>
      </c>
      <c r="K293" t="s">
        <v>891</v>
      </c>
      <c r="L293" t="s">
        <v>1120</v>
      </c>
      <c r="M293" t="s">
        <v>1121</v>
      </c>
      <c r="N293" t="s">
        <v>20</v>
      </c>
    </row>
    <row r="294" spans="1:14">
      <c r="A294">
        <v>775972</v>
      </c>
      <c r="B294" t="s">
        <v>1122</v>
      </c>
      <c r="C294" t="str">
        <f>"9780826121912"</f>
        <v>9780826121912</v>
      </c>
      <c r="D294" t="str">
        <f>"9780826121929"</f>
        <v>9780826121929</v>
      </c>
      <c r="E294" t="s">
        <v>379</v>
      </c>
      <c r="F294" s="1">
        <v>28856</v>
      </c>
      <c r="G294" t="s">
        <v>16</v>
      </c>
      <c r="J294" t="s">
        <v>1123</v>
      </c>
      <c r="K294" t="s">
        <v>1124</v>
      </c>
      <c r="L294" t="s">
        <v>1125</v>
      </c>
      <c r="M294" t="s">
        <v>1126</v>
      </c>
      <c r="N294" t="s">
        <v>20</v>
      </c>
    </row>
    <row r="295" spans="1:14">
      <c r="A295">
        <v>784713</v>
      </c>
      <c r="B295" t="s">
        <v>1127</v>
      </c>
      <c r="C295" t="str">
        <f>"9780199832699"</f>
        <v>9780199832699</v>
      </c>
      <c r="D295" t="str">
        <f>"9780199909872"</f>
        <v>9780199909872</v>
      </c>
      <c r="E295" t="s">
        <v>750</v>
      </c>
      <c r="F295" s="1">
        <v>40823</v>
      </c>
      <c r="G295" t="s">
        <v>16</v>
      </c>
      <c r="H295">
        <v>2</v>
      </c>
      <c r="I295" t="s">
        <v>1128</v>
      </c>
      <c r="J295" t="s">
        <v>1129</v>
      </c>
      <c r="K295" t="s">
        <v>94</v>
      </c>
      <c r="L295">
        <v>200.97300000000001</v>
      </c>
      <c r="M295" t="s">
        <v>1130</v>
      </c>
      <c r="N295" t="s">
        <v>20</v>
      </c>
    </row>
    <row r="296" spans="1:14">
      <c r="A296">
        <v>792464</v>
      </c>
      <c r="B296" t="s">
        <v>1131</v>
      </c>
      <c r="C296" t="str">
        <f>"9780470749265"</f>
        <v>9780470749265</v>
      </c>
      <c r="D296" t="str">
        <f>"9781119996187"</f>
        <v>9781119996187</v>
      </c>
      <c r="E296" t="s">
        <v>26</v>
      </c>
      <c r="F296" s="1">
        <v>40686</v>
      </c>
      <c r="G296" t="s">
        <v>16</v>
      </c>
      <c r="H296">
        <v>2</v>
      </c>
      <c r="J296" t="s">
        <v>1132</v>
      </c>
      <c r="K296" t="s">
        <v>394</v>
      </c>
      <c r="L296" t="s">
        <v>1133</v>
      </c>
      <c r="M296" t="s">
        <v>1134</v>
      </c>
      <c r="N296" t="s">
        <v>20</v>
      </c>
    </row>
    <row r="297" spans="1:14">
      <c r="A297">
        <v>792629</v>
      </c>
      <c r="B297" t="s">
        <v>1135</v>
      </c>
      <c r="C297" t="str">
        <f>"9781444315738"</f>
        <v>9781444315738</v>
      </c>
      <c r="D297" t="str">
        <f>"9781444356045"</f>
        <v>9781444356045</v>
      </c>
      <c r="E297" t="s">
        <v>26</v>
      </c>
      <c r="F297" s="1">
        <v>40042</v>
      </c>
      <c r="G297" t="s">
        <v>16</v>
      </c>
      <c r="H297">
        <v>1</v>
      </c>
      <c r="I297" t="s">
        <v>302</v>
      </c>
      <c r="J297" t="s">
        <v>1136</v>
      </c>
      <c r="K297" t="s">
        <v>18</v>
      </c>
      <c r="L297" t="s">
        <v>1137</v>
      </c>
      <c r="M297" t="s">
        <v>1138</v>
      </c>
      <c r="N297" t="s">
        <v>20</v>
      </c>
    </row>
    <row r="298" spans="1:14">
      <c r="A298">
        <v>792638</v>
      </c>
      <c r="B298" t="s">
        <v>1139</v>
      </c>
      <c r="C298" t="str">
        <f>"9781444342062"</f>
        <v>9781444342062</v>
      </c>
      <c r="D298" t="str">
        <f>"9781444314878"</f>
        <v>9781444314878</v>
      </c>
      <c r="E298" t="s">
        <v>26</v>
      </c>
      <c r="F298" s="1">
        <v>40658</v>
      </c>
      <c r="G298" t="s">
        <v>16</v>
      </c>
      <c r="H298">
        <v>1</v>
      </c>
      <c r="I298" t="s">
        <v>1140</v>
      </c>
      <c r="J298" t="s">
        <v>1141</v>
      </c>
      <c r="K298" t="s">
        <v>55</v>
      </c>
      <c r="L298">
        <v>303.48340000000002</v>
      </c>
      <c r="M298" t="s">
        <v>1142</v>
      </c>
      <c r="N298" t="s">
        <v>20</v>
      </c>
    </row>
    <row r="299" spans="1:14">
      <c r="A299">
        <v>795225</v>
      </c>
      <c r="B299" t="s">
        <v>1143</v>
      </c>
      <c r="C299" t="str">
        <f>"9780826110794"</f>
        <v>9780826110794</v>
      </c>
      <c r="D299" t="str">
        <f>"9780826110800"</f>
        <v>9780826110800</v>
      </c>
      <c r="E299" t="s">
        <v>379</v>
      </c>
      <c r="F299" s="1">
        <v>40537</v>
      </c>
      <c r="G299" t="s">
        <v>16</v>
      </c>
      <c r="J299" t="s">
        <v>1144</v>
      </c>
      <c r="K299" t="s">
        <v>394</v>
      </c>
      <c r="L299">
        <v>155</v>
      </c>
      <c r="M299" t="s">
        <v>1145</v>
      </c>
      <c r="N299" t="s">
        <v>20</v>
      </c>
    </row>
    <row r="300" spans="1:14">
      <c r="A300">
        <v>798363</v>
      </c>
      <c r="B300" t="s">
        <v>1146</v>
      </c>
      <c r="C300" t="str">
        <f>"9781615306756"</f>
        <v>9781615306756</v>
      </c>
      <c r="D300" t="str">
        <f>"9781615307319"</f>
        <v>9781615307319</v>
      </c>
      <c r="E300" t="s">
        <v>761</v>
      </c>
      <c r="F300" s="1">
        <v>40892</v>
      </c>
      <c r="G300" t="s">
        <v>16</v>
      </c>
      <c r="H300">
        <v>1</v>
      </c>
      <c r="I300" t="s">
        <v>1147</v>
      </c>
      <c r="J300" t="s">
        <v>1148</v>
      </c>
      <c r="K300" t="s">
        <v>1149</v>
      </c>
      <c r="L300">
        <v>612.4</v>
      </c>
      <c r="M300" t="s">
        <v>1150</v>
      </c>
      <c r="N300" t="s">
        <v>20</v>
      </c>
    </row>
    <row r="301" spans="1:14">
      <c r="A301">
        <v>799955</v>
      </c>
      <c r="B301" t="s">
        <v>1151</v>
      </c>
      <c r="C301" t="str">
        <f>"9780826198549"</f>
        <v>9780826198549</v>
      </c>
      <c r="D301" t="str">
        <f>"9780826198556"</f>
        <v>9780826198556</v>
      </c>
      <c r="E301" t="s">
        <v>379</v>
      </c>
      <c r="F301" s="1">
        <v>40841</v>
      </c>
      <c r="G301" t="s">
        <v>16</v>
      </c>
      <c r="H301">
        <v>1</v>
      </c>
      <c r="J301" t="s">
        <v>1152</v>
      </c>
      <c r="K301" t="s">
        <v>155</v>
      </c>
      <c r="L301">
        <v>616.79999999999995</v>
      </c>
      <c r="M301" t="s">
        <v>1153</v>
      </c>
      <c r="N301" t="s">
        <v>20</v>
      </c>
    </row>
    <row r="302" spans="1:14">
      <c r="A302">
        <v>800716</v>
      </c>
      <c r="B302" t="s">
        <v>1154</v>
      </c>
      <c r="C302" t="str">
        <f>"9780786464777"</f>
        <v>9780786464777</v>
      </c>
      <c r="D302" t="str">
        <f>"9780786486410"</f>
        <v>9780786486410</v>
      </c>
      <c r="E302" t="s">
        <v>641</v>
      </c>
      <c r="F302" s="1">
        <v>40815</v>
      </c>
      <c r="G302" t="s">
        <v>16</v>
      </c>
      <c r="H302">
        <v>2</v>
      </c>
      <c r="J302" t="s">
        <v>1155</v>
      </c>
      <c r="K302" t="s">
        <v>35</v>
      </c>
      <c r="L302" t="s">
        <v>1156</v>
      </c>
      <c r="M302" t="s">
        <v>1157</v>
      </c>
      <c r="N302" t="s">
        <v>20</v>
      </c>
    </row>
    <row r="303" spans="1:14">
      <c r="A303">
        <v>800824</v>
      </c>
      <c r="B303" t="s">
        <v>1158</v>
      </c>
      <c r="C303" t="str">
        <f>"9780199582648"</f>
        <v>9780199582648</v>
      </c>
      <c r="D303" t="str">
        <f>"9780191618154"</f>
        <v>9780191618154</v>
      </c>
      <c r="E303" t="s">
        <v>703</v>
      </c>
      <c r="F303" s="1">
        <v>40894</v>
      </c>
      <c r="G303" t="s">
        <v>16</v>
      </c>
      <c r="J303" t="s">
        <v>1159</v>
      </c>
      <c r="K303" t="s">
        <v>50</v>
      </c>
      <c r="L303">
        <v>929.10720409999999</v>
      </c>
      <c r="M303" t="s">
        <v>1160</v>
      </c>
      <c r="N303" t="s">
        <v>20</v>
      </c>
    </row>
    <row r="304" spans="1:14">
      <c r="A304">
        <v>800833</v>
      </c>
      <c r="B304" t="s">
        <v>1161</v>
      </c>
      <c r="C304" t="str">
        <f>"9780199733446"</f>
        <v>9780199733446</v>
      </c>
      <c r="D304" t="str">
        <f>"9780199910175"</f>
        <v>9780199910175</v>
      </c>
      <c r="E304" t="s">
        <v>703</v>
      </c>
      <c r="F304" s="1">
        <v>40872</v>
      </c>
      <c r="G304" t="s">
        <v>16</v>
      </c>
      <c r="J304" t="s">
        <v>1162</v>
      </c>
      <c r="K304" t="s">
        <v>94</v>
      </c>
      <c r="L304" t="s">
        <v>1163</v>
      </c>
      <c r="M304" t="s">
        <v>1164</v>
      </c>
      <c r="N304" t="s">
        <v>20</v>
      </c>
    </row>
    <row r="305" spans="1:14">
      <c r="A305">
        <v>817324</v>
      </c>
      <c r="B305" t="s">
        <v>1165</v>
      </c>
      <c r="C305" t="str">
        <f>"9780470639061"</f>
        <v>9780470639061</v>
      </c>
      <c r="D305" t="str">
        <f>"9781118117941"</f>
        <v>9781118117941</v>
      </c>
      <c r="E305" t="s">
        <v>26</v>
      </c>
      <c r="F305" s="1">
        <v>40890</v>
      </c>
      <c r="G305" t="s">
        <v>16</v>
      </c>
      <c r="H305">
        <v>1</v>
      </c>
      <c r="J305" t="s">
        <v>1166</v>
      </c>
      <c r="K305" t="s">
        <v>246</v>
      </c>
      <c r="L305" t="s">
        <v>1167</v>
      </c>
      <c r="M305" t="s">
        <v>1168</v>
      </c>
      <c r="N305" t="s">
        <v>20</v>
      </c>
    </row>
    <row r="306" spans="1:14">
      <c r="A306">
        <v>817357</v>
      </c>
      <c r="B306" t="s">
        <v>1169</v>
      </c>
      <c r="C306" t="str">
        <f>"9781118123744"</f>
        <v>9781118123744</v>
      </c>
      <c r="D306" t="str">
        <f>"9781118145678"</f>
        <v>9781118145678</v>
      </c>
      <c r="E306" t="s">
        <v>26</v>
      </c>
      <c r="F306" s="1">
        <v>40932</v>
      </c>
      <c r="G306" t="s">
        <v>16</v>
      </c>
      <c r="H306">
        <v>2</v>
      </c>
      <c r="I306" t="s">
        <v>1170</v>
      </c>
      <c r="J306" t="s">
        <v>1171</v>
      </c>
      <c r="K306" t="s">
        <v>408</v>
      </c>
      <c r="L306" t="s">
        <v>1172</v>
      </c>
      <c r="M306" t="s">
        <v>1173</v>
      </c>
      <c r="N306" t="s">
        <v>20</v>
      </c>
    </row>
    <row r="307" spans="1:14">
      <c r="A307">
        <v>817585</v>
      </c>
      <c r="B307" t="s">
        <v>1174</v>
      </c>
      <c r="C307" t="str">
        <f>"9780470257739"</f>
        <v>9780470257739</v>
      </c>
      <c r="D307" t="str">
        <f>"9781118189665"</f>
        <v>9781118189665</v>
      </c>
      <c r="E307" t="s">
        <v>492</v>
      </c>
      <c r="F307" s="1">
        <v>41023</v>
      </c>
      <c r="G307" t="s">
        <v>16</v>
      </c>
      <c r="H307">
        <v>1</v>
      </c>
      <c r="J307" t="s">
        <v>1175</v>
      </c>
      <c r="K307" t="s">
        <v>29</v>
      </c>
      <c r="L307">
        <v>658.30029999999999</v>
      </c>
      <c r="M307" t="s">
        <v>1176</v>
      </c>
      <c r="N307" t="s">
        <v>20</v>
      </c>
    </row>
    <row r="308" spans="1:14">
      <c r="A308">
        <v>817586</v>
      </c>
      <c r="B308" t="s">
        <v>1177</v>
      </c>
      <c r="C308" t="str">
        <f>"9781118364727"</f>
        <v>9781118364727</v>
      </c>
      <c r="D308" t="str">
        <f>"9781118189719"</f>
        <v>9781118189719</v>
      </c>
      <c r="E308" t="s">
        <v>492</v>
      </c>
      <c r="F308" s="1">
        <v>41023</v>
      </c>
      <c r="G308" t="s">
        <v>16</v>
      </c>
      <c r="H308">
        <v>1</v>
      </c>
      <c r="J308" t="s">
        <v>1178</v>
      </c>
      <c r="K308" t="s">
        <v>29</v>
      </c>
      <c r="L308">
        <v>658.30029999999999</v>
      </c>
      <c r="M308" t="s">
        <v>1179</v>
      </c>
      <c r="N308" t="s">
        <v>20</v>
      </c>
    </row>
    <row r="309" spans="1:14">
      <c r="A309">
        <v>817721</v>
      </c>
      <c r="B309" t="s">
        <v>1180</v>
      </c>
      <c r="C309" t="str">
        <f>"9780470905951"</f>
        <v>9780470905951</v>
      </c>
      <c r="D309" t="str">
        <f>"9781118196656"</f>
        <v>9781118196656</v>
      </c>
      <c r="E309" t="s">
        <v>26</v>
      </c>
      <c r="F309" s="1">
        <v>40960</v>
      </c>
      <c r="G309" t="s">
        <v>16</v>
      </c>
      <c r="H309">
        <v>2</v>
      </c>
      <c r="J309" t="s">
        <v>1181</v>
      </c>
      <c r="K309" t="s">
        <v>1182</v>
      </c>
      <c r="L309">
        <v>571.803</v>
      </c>
      <c r="M309" t="s">
        <v>1183</v>
      </c>
      <c r="N309" t="s">
        <v>20</v>
      </c>
    </row>
    <row r="310" spans="1:14">
      <c r="A310">
        <v>817869</v>
      </c>
      <c r="B310" t="s">
        <v>1184</v>
      </c>
      <c r="C310" t="str">
        <f>"9781118084625"</f>
        <v>9781118084625</v>
      </c>
      <c r="D310" t="str">
        <f>"9781118206799"</f>
        <v>9781118206799</v>
      </c>
      <c r="E310" t="s">
        <v>492</v>
      </c>
      <c r="F310" s="1">
        <v>40974</v>
      </c>
      <c r="G310" t="s">
        <v>16</v>
      </c>
      <c r="H310">
        <v>1</v>
      </c>
      <c r="J310" t="s">
        <v>1185</v>
      </c>
      <c r="K310" t="s">
        <v>55</v>
      </c>
      <c r="L310" t="s">
        <v>1186</v>
      </c>
      <c r="M310" t="s">
        <v>1187</v>
      </c>
      <c r="N310" t="s">
        <v>20</v>
      </c>
    </row>
    <row r="311" spans="1:14">
      <c r="A311">
        <v>819283</v>
      </c>
      <c r="B311" t="s">
        <v>1188</v>
      </c>
      <c r="C311" t="str">
        <f>"9780470699751"</f>
        <v>9780470699751</v>
      </c>
      <c r="D311" t="str">
        <f>"9781119993926"</f>
        <v>9781119993926</v>
      </c>
      <c r="E311" t="s">
        <v>26</v>
      </c>
      <c r="F311" s="1">
        <v>40707</v>
      </c>
      <c r="G311" t="s">
        <v>16</v>
      </c>
      <c r="H311">
        <v>2</v>
      </c>
      <c r="J311" t="s">
        <v>1189</v>
      </c>
      <c r="K311" t="s">
        <v>1190</v>
      </c>
      <c r="L311">
        <v>621.45000000000005</v>
      </c>
      <c r="M311" t="s">
        <v>1191</v>
      </c>
      <c r="N311" t="s">
        <v>20</v>
      </c>
    </row>
    <row r="312" spans="1:14">
      <c r="A312">
        <v>819341</v>
      </c>
      <c r="B312" t="s">
        <v>1192</v>
      </c>
      <c r="C312" t="str">
        <f>"9781405195430"</f>
        <v>9781405195430</v>
      </c>
      <c r="D312" t="str">
        <f>"9781444397727"</f>
        <v>9781444397727</v>
      </c>
      <c r="E312" t="s">
        <v>26</v>
      </c>
      <c r="F312" s="1">
        <v>40714</v>
      </c>
      <c r="G312" t="s">
        <v>16</v>
      </c>
      <c r="H312">
        <v>2</v>
      </c>
      <c r="J312" t="s">
        <v>1193</v>
      </c>
      <c r="K312" t="s">
        <v>1194</v>
      </c>
      <c r="L312">
        <v>664.06</v>
      </c>
      <c r="M312" t="s">
        <v>1195</v>
      </c>
      <c r="N312" t="s">
        <v>20</v>
      </c>
    </row>
    <row r="313" spans="1:14">
      <c r="A313">
        <v>819353</v>
      </c>
      <c r="B313" t="s">
        <v>1196</v>
      </c>
      <c r="C313" t="str">
        <f>"9781405190763"</f>
        <v>9781405190763</v>
      </c>
      <c r="D313" t="str">
        <f>"9781444356175"</f>
        <v>9781444356175</v>
      </c>
      <c r="E313" t="s">
        <v>26</v>
      </c>
      <c r="F313" s="1">
        <v>39868</v>
      </c>
      <c r="G313" t="s">
        <v>16</v>
      </c>
      <c r="H313">
        <v>1</v>
      </c>
      <c r="I313" t="s">
        <v>141</v>
      </c>
      <c r="J313" t="s">
        <v>1197</v>
      </c>
      <c r="K313" t="s">
        <v>138</v>
      </c>
      <c r="L313">
        <v>193</v>
      </c>
      <c r="M313" t="s">
        <v>1198</v>
      </c>
      <c r="N313" t="s">
        <v>20</v>
      </c>
    </row>
    <row r="314" spans="1:14">
      <c r="A314">
        <v>819360</v>
      </c>
      <c r="B314" t="s">
        <v>1199</v>
      </c>
      <c r="C314" t="str">
        <f>"9781405191135"</f>
        <v>9781405191135</v>
      </c>
      <c r="D314" t="str">
        <f>"9781444356564"</f>
        <v>9781444356564</v>
      </c>
      <c r="E314" t="s">
        <v>26</v>
      </c>
      <c r="F314" s="1">
        <v>39923</v>
      </c>
      <c r="G314" t="s">
        <v>16</v>
      </c>
      <c r="H314">
        <v>1</v>
      </c>
      <c r="I314" t="s">
        <v>141</v>
      </c>
      <c r="J314" t="s">
        <v>1200</v>
      </c>
      <c r="K314" t="s">
        <v>138</v>
      </c>
      <c r="L314" t="s">
        <v>1201</v>
      </c>
      <c r="M314" t="s">
        <v>1202</v>
      </c>
      <c r="N314" t="s">
        <v>20</v>
      </c>
    </row>
    <row r="315" spans="1:14">
      <c r="A315">
        <v>819361</v>
      </c>
      <c r="B315" t="s">
        <v>1203</v>
      </c>
      <c r="C315" t="str">
        <f>"9781405192781"</f>
        <v>9781405192781</v>
      </c>
      <c r="D315" t="str">
        <f>"9781444356588"</f>
        <v>9781444356588</v>
      </c>
      <c r="E315" t="s">
        <v>26</v>
      </c>
      <c r="F315" s="1">
        <v>39244</v>
      </c>
      <c r="G315" t="s">
        <v>16</v>
      </c>
      <c r="H315">
        <v>1</v>
      </c>
      <c r="I315" t="s">
        <v>302</v>
      </c>
      <c r="J315" t="s">
        <v>1204</v>
      </c>
      <c r="K315" t="s">
        <v>474</v>
      </c>
      <c r="L315">
        <v>2.09</v>
      </c>
      <c r="M315" t="s">
        <v>1205</v>
      </c>
      <c r="N315" t="s">
        <v>20</v>
      </c>
    </row>
    <row r="316" spans="1:14">
      <c r="A316">
        <v>819370</v>
      </c>
      <c r="B316" t="s">
        <v>1206</v>
      </c>
      <c r="C316" t="str">
        <f>"9781405176613"</f>
        <v>9781405176613</v>
      </c>
      <c r="D316" t="str">
        <f>"9781444357134"</f>
        <v>9781444357134</v>
      </c>
      <c r="E316" t="s">
        <v>26</v>
      </c>
      <c r="F316" s="1">
        <v>38765</v>
      </c>
      <c r="G316" t="s">
        <v>16</v>
      </c>
      <c r="H316">
        <v>1</v>
      </c>
      <c r="I316" t="s">
        <v>1207</v>
      </c>
      <c r="J316" t="s">
        <v>1208</v>
      </c>
      <c r="K316" t="s">
        <v>62</v>
      </c>
      <c r="L316">
        <v>305.23099999999999</v>
      </c>
      <c r="M316" t="s">
        <v>1209</v>
      </c>
      <c r="N316" t="s">
        <v>20</v>
      </c>
    </row>
    <row r="317" spans="1:14">
      <c r="A317">
        <v>819371</v>
      </c>
      <c r="B317" t="s">
        <v>1210</v>
      </c>
      <c r="C317" t="str">
        <f>"9781444334135"</f>
        <v>9781444334135</v>
      </c>
      <c r="D317" t="str">
        <f>"9781444357202"</f>
        <v>9781444357202</v>
      </c>
      <c r="E317" t="s">
        <v>26</v>
      </c>
      <c r="F317" s="1">
        <v>40210</v>
      </c>
      <c r="G317" t="s">
        <v>16</v>
      </c>
      <c r="H317">
        <v>1</v>
      </c>
      <c r="I317" t="s">
        <v>88</v>
      </c>
      <c r="J317" t="s">
        <v>1211</v>
      </c>
      <c r="K317" t="s">
        <v>50</v>
      </c>
      <c r="L317">
        <v>937.02</v>
      </c>
      <c r="M317" t="s">
        <v>1212</v>
      </c>
      <c r="N317" t="s">
        <v>20</v>
      </c>
    </row>
    <row r="318" spans="1:14">
      <c r="A318">
        <v>819372</v>
      </c>
      <c r="B318" t="s">
        <v>1213</v>
      </c>
      <c r="C318" t="str">
        <f>"9781405198783"</f>
        <v>9781405198783</v>
      </c>
      <c r="D318" t="str">
        <f>"9781444357226"</f>
        <v>9781444357226</v>
      </c>
      <c r="E318" t="s">
        <v>26</v>
      </c>
      <c r="F318" s="1">
        <v>40793</v>
      </c>
      <c r="G318" t="s">
        <v>16</v>
      </c>
      <c r="H318">
        <v>1</v>
      </c>
      <c r="I318" t="s">
        <v>97</v>
      </c>
      <c r="J318" t="s">
        <v>1214</v>
      </c>
      <c r="K318" t="s">
        <v>35</v>
      </c>
      <c r="L318">
        <v>709.02</v>
      </c>
      <c r="M318" t="s">
        <v>1215</v>
      </c>
      <c r="N318" t="s">
        <v>20</v>
      </c>
    </row>
    <row r="319" spans="1:14">
      <c r="A319">
        <v>819387</v>
      </c>
      <c r="B319" t="s">
        <v>1216</v>
      </c>
      <c r="C319" t="str">
        <f>"9781444334050"</f>
        <v>9781444334050</v>
      </c>
      <c r="D319" t="str">
        <f>"9781444357943"</f>
        <v>9781444357943</v>
      </c>
      <c r="E319" t="s">
        <v>26</v>
      </c>
      <c r="F319" s="1">
        <v>40399</v>
      </c>
      <c r="G319" t="s">
        <v>16</v>
      </c>
      <c r="H319">
        <v>1</v>
      </c>
      <c r="I319" t="s">
        <v>169</v>
      </c>
      <c r="J319" t="s">
        <v>1217</v>
      </c>
      <c r="K319" t="s">
        <v>1218</v>
      </c>
      <c r="L319">
        <v>69</v>
      </c>
      <c r="M319" t="s">
        <v>1219</v>
      </c>
      <c r="N319" t="s">
        <v>20</v>
      </c>
    </row>
    <row r="320" spans="1:14">
      <c r="A320">
        <v>819470</v>
      </c>
      <c r="B320" t="s">
        <v>1220</v>
      </c>
      <c r="C320" t="str">
        <f>"9781444338829"</f>
        <v>9781444338829</v>
      </c>
      <c r="D320" t="str">
        <f>"9781444391626"</f>
        <v>9781444391626</v>
      </c>
      <c r="E320" t="s">
        <v>26</v>
      </c>
      <c r="F320" s="1">
        <v>38387</v>
      </c>
      <c r="G320" t="s">
        <v>16</v>
      </c>
      <c r="H320">
        <v>1</v>
      </c>
      <c r="I320" t="s">
        <v>228</v>
      </c>
      <c r="J320" t="s">
        <v>1221</v>
      </c>
      <c r="K320" t="s">
        <v>50</v>
      </c>
      <c r="L320">
        <v>973.7</v>
      </c>
      <c r="M320" t="s">
        <v>933</v>
      </c>
      <c r="N320" t="s">
        <v>20</v>
      </c>
    </row>
    <row r="321" spans="1:14">
      <c r="A321">
        <v>819471</v>
      </c>
      <c r="B321" t="s">
        <v>1222</v>
      </c>
      <c r="C321" t="str">
        <f>"9781444338836"</f>
        <v>9781444338836</v>
      </c>
      <c r="D321" t="str">
        <f>"9781444391657"</f>
        <v>9781444391657</v>
      </c>
      <c r="E321" t="s">
        <v>26</v>
      </c>
      <c r="F321" s="1">
        <v>38758</v>
      </c>
      <c r="G321" t="s">
        <v>16</v>
      </c>
      <c r="H321">
        <v>1</v>
      </c>
      <c r="I321" t="s">
        <v>228</v>
      </c>
      <c r="J321" t="s">
        <v>1223</v>
      </c>
      <c r="K321" t="s">
        <v>1224</v>
      </c>
      <c r="L321" t="s">
        <v>1225</v>
      </c>
      <c r="M321" t="s">
        <v>1226</v>
      </c>
      <c r="N321" t="s">
        <v>20</v>
      </c>
    </row>
    <row r="322" spans="1:14">
      <c r="A322">
        <v>819472</v>
      </c>
      <c r="B322" t="s">
        <v>1227</v>
      </c>
      <c r="C322" t="str">
        <f>"9781444338409"</f>
        <v>9781444338409</v>
      </c>
      <c r="D322" t="str">
        <f>"9781444391671"</f>
        <v>9781444391671</v>
      </c>
      <c r="E322" t="s">
        <v>26</v>
      </c>
      <c r="F322" s="1">
        <v>38730</v>
      </c>
      <c r="G322" t="s">
        <v>16</v>
      </c>
      <c r="H322">
        <v>1</v>
      </c>
      <c r="I322" t="s">
        <v>1228</v>
      </c>
      <c r="J322" t="s">
        <v>1229</v>
      </c>
      <c r="K322" t="s">
        <v>50</v>
      </c>
      <c r="L322">
        <v>940.5</v>
      </c>
      <c r="M322" t="s">
        <v>1230</v>
      </c>
      <c r="N322" t="s">
        <v>20</v>
      </c>
    </row>
    <row r="323" spans="1:14">
      <c r="A323">
        <v>819473</v>
      </c>
      <c r="B323" t="s">
        <v>1231</v>
      </c>
      <c r="C323" t="str">
        <f>"9781444339215"</f>
        <v>9781444339215</v>
      </c>
      <c r="D323" t="str">
        <f>"9781444393767"</f>
        <v>9781444393767</v>
      </c>
      <c r="E323" t="s">
        <v>26</v>
      </c>
      <c r="F323" s="1">
        <v>40525</v>
      </c>
      <c r="G323" t="s">
        <v>16</v>
      </c>
      <c r="H323">
        <v>1</v>
      </c>
      <c r="I323" t="s">
        <v>88</v>
      </c>
      <c r="J323" t="s">
        <v>1232</v>
      </c>
      <c r="K323" t="s">
        <v>1233</v>
      </c>
      <c r="L323">
        <v>355.00936999999999</v>
      </c>
      <c r="M323" t="s">
        <v>1234</v>
      </c>
      <c r="N323" t="s">
        <v>20</v>
      </c>
    </row>
    <row r="324" spans="1:14">
      <c r="A324">
        <v>821673</v>
      </c>
      <c r="B324" t="s">
        <v>1235</v>
      </c>
      <c r="C324" t="str">
        <f>"9780470257715"</f>
        <v>9780470257715</v>
      </c>
      <c r="D324" t="str">
        <f>"9781118189726"</f>
        <v>9781118189726</v>
      </c>
      <c r="E324" t="s">
        <v>492</v>
      </c>
      <c r="F324" s="1">
        <v>41023</v>
      </c>
      <c r="G324" t="s">
        <v>16</v>
      </c>
      <c r="H324">
        <v>1</v>
      </c>
      <c r="J324" t="s">
        <v>1236</v>
      </c>
      <c r="K324" t="s">
        <v>29</v>
      </c>
      <c r="L324">
        <v>658.30029999999999</v>
      </c>
      <c r="M324" t="s">
        <v>1176</v>
      </c>
      <c r="N324" t="s">
        <v>20</v>
      </c>
    </row>
    <row r="325" spans="1:14">
      <c r="A325">
        <v>821807</v>
      </c>
      <c r="B325" t="s">
        <v>1237</v>
      </c>
      <c r="C325" t="str">
        <f>"9781118115886"</f>
        <v>9781118115886</v>
      </c>
      <c r="D325" t="str">
        <f>"9781118224403"</f>
        <v>9781118224403</v>
      </c>
      <c r="E325" t="s">
        <v>26</v>
      </c>
      <c r="F325" s="1">
        <v>41030</v>
      </c>
      <c r="G325" t="s">
        <v>16</v>
      </c>
      <c r="H325">
        <v>5</v>
      </c>
      <c r="J325" t="s">
        <v>1238</v>
      </c>
      <c r="K325" t="s">
        <v>29</v>
      </c>
      <c r="L325">
        <v>657</v>
      </c>
      <c r="M325" t="s">
        <v>1239</v>
      </c>
      <c r="N325" t="s">
        <v>20</v>
      </c>
    </row>
    <row r="326" spans="1:14">
      <c r="A326">
        <v>822419</v>
      </c>
      <c r="B326" t="s">
        <v>1240</v>
      </c>
      <c r="C326" t="str">
        <f>"9780470184769"</f>
        <v>9780470184769</v>
      </c>
      <c r="D326" t="str">
        <f>"9781118174692"</f>
        <v>9781118174692</v>
      </c>
      <c r="E326" t="s">
        <v>26</v>
      </c>
      <c r="F326" s="1">
        <v>39797</v>
      </c>
      <c r="G326" t="s">
        <v>16</v>
      </c>
      <c r="H326">
        <v>2</v>
      </c>
      <c r="J326" t="s">
        <v>1241</v>
      </c>
      <c r="K326" t="s">
        <v>35</v>
      </c>
      <c r="L326">
        <v>741.60688000000005</v>
      </c>
      <c r="M326" t="s">
        <v>1242</v>
      </c>
      <c r="N326" t="s">
        <v>20</v>
      </c>
    </row>
    <row r="327" spans="1:14">
      <c r="A327">
        <v>822485</v>
      </c>
      <c r="B327" t="s">
        <v>1243</v>
      </c>
      <c r="C327" t="str">
        <f>"9781119968702"</f>
        <v>9781119968702</v>
      </c>
      <c r="D327" t="str">
        <f>"9781444323641"</f>
        <v>9781444323641</v>
      </c>
      <c r="E327" t="s">
        <v>26</v>
      </c>
      <c r="F327" s="1">
        <v>40315</v>
      </c>
      <c r="G327" t="s">
        <v>16</v>
      </c>
      <c r="H327">
        <v>1</v>
      </c>
      <c r="I327" t="s">
        <v>349</v>
      </c>
      <c r="J327" t="s">
        <v>1244</v>
      </c>
      <c r="K327" t="s">
        <v>50</v>
      </c>
      <c r="L327">
        <v>940.3</v>
      </c>
      <c r="M327" t="s">
        <v>1245</v>
      </c>
      <c r="N327" t="s">
        <v>20</v>
      </c>
    </row>
    <row r="328" spans="1:14">
      <c r="A328">
        <v>822649</v>
      </c>
      <c r="B328" t="s">
        <v>1246</v>
      </c>
      <c r="C328" t="str">
        <f>"9781444330397"</f>
        <v>9781444330397</v>
      </c>
      <c r="D328" t="str">
        <f>"9781444347357"</f>
        <v>9781444347357</v>
      </c>
      <c r="E328" t="s">
        <v>26</v>
      </c>
      <c r="F328" s="1">
        <v>40925</v>
      </c>
      <c r="G328" t="s">
        <v>16</v>
      </c>
      <c r="H328">
        <v>1</v>
      </c>
      <c r="I328" t="s">
        <v>312</v>
      </c>
      <c r="J328" t="s">
        <v>1247</v>
      </c>
      <c r="K328" t="s">
        <v>55</v>
      </c>
      <c r="L328">
        <v>301</v>
      </c>
      <c r="M328" t="s">
        <v>1248</v>
      </c>
      <c r="N328" t="s">
        <v>20</v>
      </c>
    </row>
    <row r="329" spans="1:14">
      <c r="A329">
        <v>822656</v>
      </c>
      <c r="B329" t="s">
        <v>1249</v>
      </c>
      <c r="C329" t="str">
        <f>"9781444334500"</f>
        <v>9781444334500</v>
      </c>
      <c r="D329" t="str">
        <f>"9781444354089"</f>
        <v>9781444354089</v>
      </c>
      <c r="E329" t="s">
        <v>26</v>
      </c>
      <c r="F329" s="1">
        <v>40959</v>
      </c>
      <c r="G329" t="s">
        <v>16</v>
      </c>
      <c r="H329">
        <v>1</v>
      </c>
      <c r="J329" t="s">
        <v>1250</v>
      </c>
      <c r="K329" t="s">
        <v>55</v>
      </c>
      <c r="L329">
        <v>306.85000000000002</v>
      </c>
      <c r="M329" t="s">
        <v>1251</v>
      </c>
      <c r="N329" t="s">
        <v>20</v>
      </c>
    </row>
    <row r="330" spans="1:14">
      <c r="A330">
        <v>822663</v>
      </c>
      <c r="B330" t="s">
        <v>1252</v>
      </c>
      <c r="C330" t="str">
        <f>"9781444333343"</f>
        <v>9781444333343</v>
      </c>
      <c r="D330" t="str">
        <f>"9781444355291"</f>
        <v>9781444355291</v>
      </c>
      <c r="E330" t="s">
        <v>26</v>
      </c>
      <c r="F330" s="1">
        <v>40854</v>
      </c>
      <c r="G330" t="s">
        <v>16</v>
      </c>
      <c r="H330">
        <v>1</v>
      </c>
      <c r="J330" t="s">
        <v>1253</v>
      </c>
      <c r="K330" t="s">
        <v>632</v>
      </c>
      <c r="L330" t="s">
        <v>1254</v>
      </c>
      <c r="M330" t="s">
        <v>1255</v>
      </c>
      <c r="N330" t="s">
        <v>20</v>
      </c>
    </row>
    <row r="331" spans="1:14">
      <c r="A331">
        <v>829377</v>
      </c>
      <c r="B331" t="s">
        <v>1256</v>
      </c>
      <c r="C331" t="str">
        <f>"9780199826902"</f>
        <v>9780199826902</v>
      </c>
      <c r="D331" t="str">
        <f>"9780199909551"</f>
        <v>9780199909551</v>
      </c>
      <c r="E331" t="s">
        <v>750</v>
      </c>
      <c r="F331" s="1">
        <v>40879</v>
      </c>
      <c r="G331" t="s">
        <v>16</v>
      </c>
      <c r="J331" t="s">
        <v>1257</v>
      </c>
      <c r="K331" t="s">
        <v>1258</v>
      </c>
      <c r="L331" t="s">
        <v>1259</v>
      </c>
      <c r="M331" t="s">
        <v>1260</v>
      </c>
      <c r="N331" t="s">
        <v>20</v>
      </c>
    </row>
    <row r="332" spans="1:14">
      <c r="A332">
        <v>829381</v>
      </c>
      <c r="B332" t="s">
        <v>1261</v>
      </c>
      <c r="C332" t="str">
        <f>"9780195380156"</f>
        <v>9780195380156</v>
      </c>
      <c r="D332" t="str">
        <f>"9780199701681"</f>
        <v>9780199701681</v>
      </c>
      <c r="E332" t="s">
        <v>750</v>
      </c>
      <c r="F332" s="1">
        <v>41117</v>
      </c>
      <c r="G332" t="s">
        <v>16</v>
      </c>
      <c r="I332" t="s">
        <v>782</v>
      </c>
      <c r="J332" t="s">
        <v>1262</v>
      </c>
      <c r="K332" t="s">
        <v>673</v>
      </c>
      <c r="L332" t="s">
        <v>1263</v>
      </c>
      <c r="M332" t="s">
        <v>1264</v>
      </c>
      <c r="N332" t="s">
        <v>20</v>
      </c>
    </row>
    <row r="333" spans="1:14">
      <c r="A333">
        <v>829477</v>
      </c>
      <c r="B333" t="s">
        <v>1265</v>
      </c>
      <c r="C333" t="str">
        <f>"9780195379471"</f>
        <v>9780195379471</v>
      </c>
      <c r="D333" t="str">
        <f>"9780199702138"</f>
        <v>9780199702138</v>
      </c>
      <c r="E333" t="s">
        <v>703</v>
      </c>
      <c r="F333" s="1">
        <v>40912</v>
      </c>
      <c r="G333" t="s">
        <v>16</v>
      </c>
      <c r="J333" t="s">
        <v>1266</v>
      </c>
      <c r="K333" t="s">
        <v>55</v>
      </c>
      <c r="L333">
        <v>302.3</v>
      </c>
      <c r="M333" t="s">
        <v>1267</v>
      </c>
      <c r="N333" t="s">
        <v>20</v>
      </c>
    </row>
    <row r="334" spans="1:14">
      <c r="A334">
        <v>832569</v>
      </c>
      <c r="B334" t="s">
        <v>1268</v>
      </c>
      <c r="C334" t="str">
        <f>"9781118027776"</f>
        <v>9781118027776</v>
      </c>
      <c r="D334" t="str">
        <f>"9781118218556"</f>
        <v>9781118218556</v>
      </c>
      <c r="E334" t="s">
        <v>26</v>
      </c>
      <c r="F334" s="1">
        <v>41030</v>
      </c>
      <c r="G334" t="s">
        <v>16</v>
      </c>
      <c r="H334">
        <v>1</v>
      </c>
      <c r="I334" t="s">
        <v>812</v>
      </c>
      <c r="J334" t="s">
        <v>1269</v>
      </c>
      <c r="K334" t="s">
        <v>408</v>
      </c>
      <c r="L334">
        <v>370.15097300000002</v>
      </c>
      <c r="M334" t="s">
        <v>1270</v>
      </c>
      <c r="N334" t="s">
        <v>20</v>
      </c>
    </row>
    <row r="335" spans="1:14">
      <c r="A335">
        <v>832595</v>
      </c>
      <c r="B335" t="s">
        <v>1271</v>
      </c>
      <c r="C335" t="str">
        <f>"9781118270035"</f>
        <v>9781118270035</v>
      </c>
      <c r="D335" t="str">
        <f>"9781118287255"</f>
        <v>9781118287255</v>
      </c>
      <c r="E335" t="s">
        <v>26</v>
      </c>
      <c r="F335" s="1">
        <v>41135</v>
      </c>
      <c r="G335" t="s">
        <v>16</v>
      </c>
      <c r="H335">
        <v>3</v>
      </c>
      <c r="J335" t="s">
        <v>1272</v>
      </c>
      <c r="K335" t="s">
        <v>710</v>
      </c>
      <c r="L335">
        <v>6.7</v>
      </c>
      <c r="M335" t="s">
        <v>1273</v>
      </c>
      <c r="N335" t="s">
        <v>20</v>
      </c>
    </row>
    <row r="336" spans="1:14">
      <c r="A336">
        <v>837605</v>
      </c>
      <c r="B336" t="s">
        <v>1274</v>
      </c>
      <c r="C336" t="str">
        <f>"9780470656457"</f>
        <v>9780470656457</v>
      </c>
      <c r="D336" t="str">
        <f>"9781118290590"</f>
        <v>9781118290590</v>
      </c>
      <c r="E336" t="s">
        <v>26</v>
      </c>
      <c r="F336" s="1">
        <v>41177</v>
      </c>
      <c r="G336" t="s">
        <v>16</v>
      </c>
      <c r="H336">
        <v>1</v>
      </c>
      <c r="I336" t="s">
        <v>667</v>
      </c>
      <c r="J336" t="s">
        <v>1275</v>
      </c>
      <c r="K336" t="s">
        <v>55</v>
      </c>
      <c r="L336">
        <v>306</v>
      </c>
      <c r="M336" t="s">
        <v>1276</v>
      </c>
      <c r="N336" t="s">
        <v>20</v>
      </c>
    </row>
    <row r="337" spans="1:14">
      <c r="A337">
        <v>845932</v>
      </c>
      <c r="B337" t="s">
        <v>1277</v>
      </c>
      <c r="C337" t="str">
        <f>"9780199760237"</f>
        <v>9780199760237</v>
      </c>
      <c r="D337" t="str">
        <f>"9780199909513"</f>
        <v>9780199909513</v>
      </c>
      <c r="E337" t="s">
        <v>750</v>
      </c>
      <c r="F337" s="1">
        <v>40876</v>
      </c>
      <c r="G337" t="s">
        <v>16</v>
      </c>
      <c r="J337" t="s">
        <v>1278</v>
      </c>
      <c r="K337" t="s">
        <v>1279</v>
      </c>
      <c r="L337" t="s">
        <v>1280</v>
      </c>
      <c r="M337" t="s">
        <v>1281</v>
      </c>
      <c r="N337" t="s">
        <v>20</v>
      </c>
    </row>
    <row r="338" spans="1:14">
      <c r="A338">
        <v>845958</v>
      </c>
      <c r="B338" t="s">
        <v>1282</v>
      </c>
      <c r="C338" t="str">
        <f>"9780199843626"</f>
        <v>9780199843626</v>
      </c>
      <c r="D338" t="str">
        <f>"9780199909940"</f>
        <v>9780199909940</v>
      </c>
      <c r="E338" t="s">
        <v>1283</v>
      </c>
      <c r="F338" s="1">
        <v>40848</v>
      </c>
      <c r="G338" t="s">
        <v>16</v>
      </c>
      <c r="I338" t="s">
        <v>1284</v>
      </c>
      <c r="J338" t="s">
        <v>1285</v>
      </c>
      <c r="K338" t="s">
        <v>155</v>
      </c>
      <c r="L338">
        <v>616.80427999999995</v>
      </c>
      <c r="M338" t="s">
        <v>1286</v>
      </c>
      <c r="N338" t="s">
        <v>20</v>
      </c>
    </row>
    <row r="339" spans="1:14">
      <c r="A339">
        <v>845959</v>
      </c>
      <c r="B339" t="s">
        <v>1287</v>
      </c>
      <c r="C339" t="str">
        <f>"9780199732920"</f>
        <v>9780199732920</v>
      </c>
      <c r="D339" t="str">
        <f>"9780199875825"</f>
        <v>9780199875825</v>
      </c>
      <c r="E339" t="s">
        <v>703</v>
      </c>
      <c r="F339" s="1">
        <v>40920</v>
      </c>
      <c r="G339" t="s">
        <v>16</v>
      </c>
      <c r="I339" t="s">
        <v>1058</v>
      </c>
      <c r="J339" t="s">
        <v>1288</v>
      </c>
      <c r="K339" t="s">
        <v>1289</v>
      </c>
      <c r="L339" t="s">
        <v>1290</v>
      </c>
      <c r="M339" t="s">
        <v>1291</v>
      </c>
      <c r="N339" t="s">
        <v>20</v>
      </c>
    </row>
    <row r="340" spans="1:14">
      <c r="A340">
        <v>846153</v>
      </c>
      <c r="B340" t="s">
        <v>1292</v>
      </c>
      <c r="C340" t="str">
        <f>"9780786464586"</f>
        <v>9780786464586</v>
      </c>
      <c r="D340" t="str">
        <f>"9780786488520"</f>
        <v>9780786488520</v>
      </c>
      <c r="E340" t="s">
        <v>641</v>
      </c>
      <c r="F340" s="1">
        <v>40921</v>
      </c>
      <c r="G340" t="s">
        <v>16</v>
      </c>
      <c r="H340">
        <v>2</v>
      </c>
      <c r="I340">
        <v>2</v>
      </c>
      <c r="J340" t="s">
        <v>1293</v>
      </c>
      <c r="K340" t="s">
        <v>151</v>
      </c>
      <c r="L340" t="s">
        <v>1294</v>
      </c>
      <c r="M340" t="s">
        <v>1295</v>
      </c>
      <c r="N340" t="s">
        <v>20</v>
      </c>
    </row>
    <row r="341" spans="1:14">
      <c r="A341">
        <v>849023</v>
      </c>
      <c r="B341" t="s">
        <v>1296</v>
      </c>
      <c r="C341" t="str">
        <f>"9783527329649"</f>
        <v>9783527329649</v>
      </c>
      <c r="D341" t="str">
        <f>"9783527644056"</f>
        <v>9783527644056</v>
      </c>
      <c r="E341" t="s">
        <v>26</v>
      </c>
      <c r="F341" s="1">
        <v>40966</v>
      </c>
      <c r="G341" t="s">
        <v>16</v>
      </c>
      <c r="H341">
        <v>1</v>
      </c>
      <c r="J341" t="s">
        <v>1297</v>
      </c>
      <c r="K341" t="s">
        <v>1298</v>
      </c>
      <c r="L341">
        <v>668.90300000000002</v>
      </c>
      <c r="M341" t="s">
        <v>1299</v>
      </c>
      <c r="N341" t="s">
        <v>20</v>
      </c>
    </row>
    <row r="342" spans="1:14">
      <c r="A342">
        <v>865482</v>
      </c>
      <c r="B342" t="s">
        <v>1300</v>
      </c>
      <c r="C342" t="str">
        <f>"9780814732663"</f>
        <v>9780814732663</v>
      </c>
      <c r="D342" t="str">
        <f>"9780814733042"</f>
        <v>9780814733042</v>
      </c>
      <c r="E342" t="s">
        <v>1301</v>
      </c>
      <c r="F342" s="1">
        <v>40568</v>
      </c>
      <c r="G342" t="s">
        <v>16</v>
      </c>
      <c r="H342">
        <v>1</v>
      </c>
      <c r="J342" t="s">
        <v>1302</v>
      </c>
      <c r="K342" t="s">
        <v>55</v>
      </c>
      <c r="L342">
        <v>364.66097300000001</v>
      </c>
      <c r="M342" t="s">
        <v>1303</v>
      </c>
      <c r="N342" t="s">
        <v>20</v>
      </c>
    </row>
    <row r="343" spans="1:14">
      <c r="A343">
        <v>865547</v>
      </c>
      <c r="B343" t="s">
        <v>1304</v>
      </c>
      <c r="C343" t="str">
        <f>"9780814787175"</f>
        <v>9780814787175</v>
      </c>
      <c r="D343" t="str">
        <f>"9780814739389"</f>
        <v>9780814739389</v>
      </c>
      <c r="E343" t="s">
        <v>1301</v>
      </c>
      <c r="F343" s="1">
        <v>41197</v>
      </c>
      <c r="G343" t="s">
        <v>16</v>
      </c>
      <c r="H343">
        <v>1</v>
      </c>
      <c r="J343" t="s">
        <v>1305</v>
      </c>
      <c r="K343" t="s">
        <v>1306</v>
      </c>
      <c r="L343">
        <v>362.10973000000001</v>
      </c>
      <c r="M343" t="s">
        <v>1307</v>
      </c>
      <c r="N343" t="s">
        <v>20</v>
      </c>
    </row>
    <row r="344" spans="1:14">
      <c r="A344">
        <v>865912</v>
      </c>
      <c r="B344" t="s">
        <v>1308</v>
      </c>
      <c r="C344" t="str">
        <f>"9780814776469"</f>
        <v>9780814776469</v>
      </c>
      <c r="D344" t="str">
        <f>"9780814777466"</f>
        <v>9780814777466</v>
      </c>
      <c r="E344" t="s">
        <v>1301</v>
      </c>
      <c r="F344" s="1">
        <v>40848</v>
      </c>
      <c r="G344" t="s">
        <v>16</v>
      </c>
      <c r="H344">
        <v>1</v>
      </c>
      <c r="J344" t="s">
        <v>1309</v>
      </c>
      <c r="K344" t="s">
        <v>94</v>
      </c>
      <c r="L344">
        <v>200.83</v>
      </c>
      <c r="M344" t="s">
        <v>1310</v>
      </c>
      <c r="N344" t="s">
        <v>20</v>
      </c>
    </row>
    <row r="345" spans="1:14">
      <c r="A345">
        <v>873315</v>
      </c>
      <c r="B345" t="s">
        <v>1311</v>
      </c>
      <c r="C345" t="str">
        <f>"9780813347370"</f>
        <v>9780813347370</v>
      </c>
      <c r="D345" t="str">
        <f>"9780813347387"</f>
        <v>9780813347387</v>
      </c>
      <c r="E345" t="s">
        <v>15</v>
      </c>
      <c r="F345" s="1">
        <v>40988</v>
      </c>
      <c r="G345" t="s">
        <v>16</v>
      </c>
      <c r="J345" t="s">
        <v>1312</v>
      </c>
      <c r="K345" t="s">
        <v>1313</v>
      </c>
      <c r="L345">
        <v>909</v>
      </c>
      <c r="M345" t="s">
        <v>1314</v>
      </c>
      <c r="N345" t="s">
        <v>20</v>
      </c>
    </row>
    <row r="346" spans="1:14">
      <c r="A346">
        <v>875733</v>
      </c>
      <c r="B346" t="s">
        <v>1315</v>
      </c>
      <c r="C346" t="str">
        <f>"9781405196901"</f>
        <v>9781405196901</v>
      </c>
      <c r="D346" t="str">
        <f>"9781118255537"</f>
        <v>9781118255537</v>
      </c>
      <c r="E346" t="s">
        <v>26</v>
      </c>
      <c r="F346" s="1">
        <v>41050</v>
      </c>
      <c r="G346" t="s">
        <v>16</v>
      </c>
      <c r="H346">
        <v>1</v>
      </c>
      <c r="I346" t="s">
        <v>555</v>
      </c>
      <c r="J346" t="s">
        <v>1316</v>
      </c>
      <c r="K346" t="s">
        <v>94</v>
      </c>
      <c r="L346">
        <v>299.60000000000002</v>
      </c>
      <c r="M346" t="s">
        <v>1317</v>
      </c>
      <c r="N346" t="s">
        <v>20</v>
      </c>
    </row>
    <row r="347" spans="1:14">
      <c r="A347">
        <v>875781</v>
      </c>
      <c r="B347" t="s">
        <v>1318</v>
      </c>
      <c r="C347" t="str">
        <f>"9781405195478"</f>
        <v>9781405195478</v>
      </c>
      <c r="D347" t="str">
        <f>"9781444355369"</f>
        <v>9781444355369</v>
      </c>
      <c r="E347" t="s">
        <v>26</v>
      </c>
      <c r="F347" s="1">
        <v>41029</v>
      </c>
      <c r="G347" t="s">
        <v>16</v>
      </c>
      <c r="H347">
        <v>1</v>
      </c>
      <c r="I347" t="s">
        <v>555</v>
      </c>
      <c r="J347" t="s">
        <v>1319</v>
      </c>
      <c r="K347" t="s">
        <v>94</v>
      </c>
      <c r="L347">
        <v>201.7</v>
      </c>
      <c r="M347" t="s">
        <v>1320</v>
      </c>
      <c r="N347" t="s">
        <v>20</v>
      </c>
    </row>
    <row r="348" spans="1:14">
      <c r="A348">
        <v>875783</v>
      </c>
      <c r="B348" t="s">
        <v>1321</v>
      </c>
      <c r="C348" t="str">
        <f>"9781444330298"</f>
        <v>9781444330298</v>
      </c>
      <c r="D348" t="str">
        <f>"9781444355963"</f>
        <v>9781444355963</v>
      </c>
      <c r="E348" t="s">
        <v>26</v>
      </c>
      <c r="F348" s="1">
        <v>41022</v>
      </c>
      <c r="G348" t="s">
        <v>16</v>
      </c>
      <c r="H348">
        <v>1</v>
      </c>
      <c r="I348" t="s">
        <v>1322</v>
      </c>
      <c r="J348" t="s">
        <v>1323</v>
      </c>
      <c r="K348" t="s">
        <v>35</v>
      </c>
      <c r="L348">
        <v>791.43095100000005</v>
      </c>
      <c r="M348" t="s">
        <v>1324</v>
      </c>
      <c r="N348" t="s">
        <v>20</v>
      </c>
    </row>
    <row r="349" spans="1:14">
      <c r="A349">
        <v>875809</v>
      </c>
      <c r="B349" t="s">
        <v>1325</v>
      </c>
      <c r="C349" t="str">
        <f>"9781118095676"</f>
        <v>9781118095676</v>
      </c>
      <c r="D349" t="str">
        <f>"9781118223598"</f>
        <v>9781118223598</v>
      </c>
      <c r="E349" t="s">
        <v>26</v>
      </c>
      <c r="F349" s="1">
        <v>41127</v>
      </c>
      <c r="G349" t="s">
        <v>16</v>
      </c>
      <c r="H349">
        <v>1</v>
      </c>
      <c r="I349" t="s">
        <v>812</v>
      </c>
      <c r="J349" t="s">
        <v>1326</v>
      </c>
      <c r="K349" t="s">
        <v>386</v>
      </c>
      <c r="L349">
        <v>428.00709999999998</v>
      </c>
      <c r="M349" t="s">
        <v>1327</v>
      </c>
      <c r="N349" t="s">
        <v>20</v>
      </c>
    </row>
    <row r="350" spans="1:14">
      <c r="A350">
        <v>881882</v>
      </c>
      <c r="B350" t="s">
        <v>1328</v>
      </c>
      <c r="C350" t="str">
        <f>"9780786469550"</f>
        <v>9780786469550</v>
      </c>
      <c r="D350" t="str">
        <f>"9780786490677"</f>
        <v>9780786490677</v>
      </c>
      <c r="E350" t="s">
        <v>641</v>
      </c>
      <c r="F350" s="1">
        <v>40967</v>
      </c>
      <c r="G350" t="s">
        <v>16</v>
      </c>
      <c r="H350">
        <v>2</v>
      </c>
      <c r="J350" t="s">
        <v>1329</v>
      </c>
      <c r="K350" t="s">
        <v>786</v>
      </c>
      <c r="L350">
        <v>1.51</v>
      </c>
      <c r="M350" t="s">
        <v>1330</v>
      </c>
      <c r="N350" t="s">
        <v>20</v>
      </c>
    </row>
    <row r="351" spans="1:14">
      <c r="A351">
        <v>886456</v>
      </c>
      <c r="B351" t="s">
        <v>1331</v>
      </c>
      <c r="C351" t="str">
        <f>"9780195374285"</f>
        <v>9780195374285</v>
      </c>
      <c r="D351" t="str">
        <f>"9780199705757"</f>
        <v>9780199705757</v>
      </c>
      <c r="E351" t="s">
        <v>703</v>
      </c>
      <c r="F351" s="1">
        <v>40757</v>
      </c>
      <c r="G351" t="s">
        <v>16</v>
      </c>
      <c r="I351" t="s">
        <v>782</v>
      </c>
      <c r="J351" t="s">
        <v>1332</v>
      </c>
      <c r="K351" t="s">
        <v>155</v>
      </c>
      <c r="L351">
        <v>616.4</v>
      </c>
      <c r="M351" t="s">
        <v>1333</v>
      </c>
      <c r="N351" t="s">
        <v>20</v>
      </c>
    </row>
    <row r="352" spans="1:14">
      <c r="A352">
        <v>886462</v>
      </c>
      <c r="B352" t="s">
        <v>1334</v>
      </c>
      <c r="C352" t="str">
        <f>"9780199798148"</f>
        <v>9780199798148</v>
      </c>
      <c r="D352" t="str">
        <f>"9780199798247"</f>
        <v>9780199798247</v>
      </c>
      <c r="E352" t="s">
        <v>750</v>
      </c>
      <c r="F352" s="1">
        <v>41005</v>
      </c>
      <c r="G352" t="s">
        <v>16</v>
      </c>
      <c r="I352" t="s">
        <v>1100</v>
      </c>
      <c r="J352" t="s">
        <v>1335</v>
      </c>
      <c r="K352" t="s">
        <v>1336</v>
      </c>
      <c r="L352" t="s">
        <v>1337</v>
      </c>
      <c r="M352" t="s">
        <v>1338</v>
      </c>
      <c r="N352" t="s">
        <v>20</v>
      </c>
    </row>
    <row r="353" spans="1:14">
      <c r="A353">
        <v>886532</v>
      </c>
      <c r="B353" t="s">
        <v>1339</v>
      </c>
      <c r="C353" t="str">
        <f>"9780199733040"</f>
        <v>9780199733040</v>
      </c>
      <c r="D353" t="str">
        <f>"9780199938223"</f>
        <v>9780199938223</v>
      </c>
      <c r="E353" t="s">
        <v>703</v>
      </c>
      <c r="F353" s="1">
        <v>40970</v>
      </c>
      <c r="G353" t="s">
        <v>16</v>
      </c>
      <c r="I353" t="s">
        <v>1100</v>
      </c>
      <c r="J353" t="s">
        <v>1340</v>
      </c>
      <c r="K353" t="s">
        <v>50</v>
      </c>
      <c r="L353">
        <v>956.1</v>
      </c>
      <c r="M353" t="s">
        <v>1341</v>
      </c>
      <c r="N353" t="s">
        <v>20</v>
      </c>
    </row>
    <row r="354" spans="1:14">
      <c r="A354">
        <v>886540</v>
      </c>
      <c r="B354" t="s">
        <v>1342</v>
      </c>
      <c r="C354" t="str">
        <f>"9780199891771"</f>
        <v>9780199891771</v>
      </c>
      <c r="D354" t="str">
        <f>"9780199891764"</f>
        <v>9780199891764</v>
      </c>
      <c r="E354" t="s">
        <v>703</v>
      </c>
      <c r="F354" s="1">
        <v>40940</v>
      </c>
      <c r="G354" t="s">
        <v>16</v>
      </c>
      <c r="I354" t="s">
        <v>1343</v>
      </c>
      <c r="J354" t="s">
        <v>1344</v>
      </c>
      <c r="K354" t="s">
        <v>1345</v>
      </c>
      <c r="L354" t="s">
        <v>1346</v>
      </c>
      <c r="M354" t="s">
        <v>1347</v>
      </c>
      <c r="N354" t="s">
        <v>20</v>
      </c>
    </row>
    <row r="355" spans="1:14">
      <c r="A355">
        <v>886568</v>
      </c>
      <c r="B355" t="s">
        <v>1348</v>
      </c>
      <c r="C355" t="str">
        <f>"9780199797790"</f>
        <v>9780199797790</v>
      </c>
      <c r="D355" t="str">
        <f>"9780199921478"</f>
        <v>9780199921478</v>
      </c>
      <c r="E355" t="s">
        <v>750</v>
      </c>
      <c r="F355" s="1">
        <v>40935</v>
      </c>
      <c r="G355" t="s">
        <v>16</v>
      </c>
      <c r="I355" t="s">
        <v>1349</v>
      </c>
      <c r="J355" t="s">
        <v>1350</v>
      </c>
      <c r="K355" t="s">
        <v>1149</v>
      </c>
      <c r="L355">
        <v>612.1</v>
      </c>
      <c r="M355" t="s">
        <v>1351</v>
      </c>
      <c r="N355" t="s">
        <v>20</v>
      </c>
    </row>
    <row r="356" spans="1:14">
      <c r="A356">
        <v>886569</v>
      </c>
      <c r="B356" t="s">
        <v>1352</v>
      </c>
      <c r="C356" t="str">
        <f>"9780199764198"</f>
        <v>9780199764198</v>
      </c>
      <c r="D356" t="str">
        <f>"9780199830275"</f>
        <v>9780199830275</v>
      </c>
      <c r="E356" t="s">
        <v>750</v>
      </c>
      <c r="F356" s="1">
        <v>40982</v>
      </c>
      <c r="G356" t="s">
        <v>16</v>
      </c>
      <c r="I356" t="s">
        <v>1100</v>
      </c>
      <c r="J356" t="s">
        <v>1353</v>
      </c>
      <c r="K356" t="s">
        <v>50</v>
      </c>
      <c r="L356">
        <v>962.404</v>
      </c>
      <c r="M356" t="s">
        <v>1354</v>
      </c>
      <c r="N356" t="s">
        <v>20</v>
      </c>
    </row>
    <row r="357" spans="1:14">
      <c r="A357">
        <v>891222</v>
      </c>
      <c r="B357" t="s">
        <v>1355</v>
      </c>
      <c r="C357" t="str">
        <f>"9780521850056"</f>
        <v>9780521850056</v>
      </c>
      <c r="D357" t="str">
        <f>"9781139811422"</f>
        <v>9781139811422</v>
      </c>
      <c r="E357" t="s">
        <v>33</v>
      </c>
      <c r="F357" s="1">
        <v>40192</v>
      </c>
      <c r="G357" t="s">
        <v>16</v>
      </c>
      <c r="I357" t="s">
        <v>1356</v>
      </c>
      <c r="J357" t="s">
        <v>1357</v>
      </c>
      <c r="K357" t="s">
        <v>39</v>
      </c>
      <c r="L357">
        <v>515.79999999999995</v>
      </c>
      <c r="M357" t="s">
        <v>1358</v>
      </c>
      <c r="N357" t="s">
        <v>20</v>
      </c>
    </row>
    <row r="358" spans="1:14">
      <c r="A358">
        <v>893076</v>
      </c>
      <c r="B358" t="s">
        <v>1359</v>
      </c>
      <c r="C358" t="str">
        <f>"9781610486415"</f>
        <v>9781610486415</v>
      </c>
      <c r="D358" t="str">
        <f>"9781610486422"</f>
        <v>9781610486422</v>
      </c>
      <c r="E358" t="s">
        <v>1360</v>
      </c>
      <c r="F358" s="1">
        <v>40997</v>
      </c>
      <c r="G358" t="s">
        <v>16</v>
      </c>
      <c r="J358" t="s">
        <v>1361</v>
      </c>
      <c r="K358" t="s">
        <v>408</v>
      </c>
      <c r="L358">
        <v>371.10199999999998</v>
      </c>
      <c r="M358" t="s">
        <v>1362</v>
      </c>
      <c r="N358" t="s">
        <v>20</v>
      </c>
    </row>
    <row r="359" spans="1:14">
      <c r="A359">
        <v>894270</v>
      </c>
      <c r="B359" t="s">
        <v>1363</v>
      </c>
      <c r="C359" t="str">
        <f>"9780470619018"</f>
        <v>9780470619018</v>
      </c>
      <c r="D359" t="str">
        <f>"9781118337400"</f>
        <v>9781118337400</v>
      </c>
      <c r="E359" t="s">
        <v>26</v>
      </c>
      <c r="F359" s="1">
        <v>41198</v>
      </c>
      <c r="G359" t="s">
        <v>16</v>
      </c>
      <c r="H359">
        <v>2</v>
      </c>
      <c r="J359" t="s">
        <v>1364</v>
      </c>
      <c r="K359" t="s">
        <v>394</v>
      </c>
      <c r="L359">
        <v>150</v>
      </c>
      <c r="M359" t="s">
        <v>1365</v>
      </c>
      <c r="N359" t="s">
        <v>20</v>
      </c>
    </row>
    <row r="360" spans="1:14">
      <c r="A360">
        <v>894289</v>
      </c>
      <c r="B360" t="s">
        <v>1366</v>
      </c>
      <c r="C360" t="str">
        <f>"9780470917992"</f>
        <v>9780470917992</v>
      </c>
      <c r="D360" t="str">
        <f>"9781118404430"</f>
        <v>9781118404430</v>
      </c>
      <c r="E360" t="s">
        <v>26</v>
      </c>
      <c r="F360" s="1">
        <v>41198</v>
      </c>
      <c r="G360" t="s">
        <v>16</v>
      </c>
      <c r="H360">
        <v>2</v>
      </c>
      <c r="J360" t="s">
        <v>1367</v>
      </c>
      <c r="K360" t="s">
        <v>246</v>
      </c>
      <c r="L360">
        <v>616.89</v>
      </c>
      <c r="M360" t="s">
        <v>1368</v>
      </c>
      <c r="N360" t="s">
        <v>20</v>
      </c>
    </row>
    <row r="361" spans="1:14">
      <c r="A361">
        <v>896984</v>
      </c>
      <c r="B361" t="s">
        <v>1369</v>
      </c>
      <c r="C361" t="str">
        <f>"9780786468904"</f>
        <v>9780786468904</v>
      </c>
      <c r="D361" t="str">
        <f>"9780786490448"</f>
        <v>9780786490448</v>
      </c>
      <c r="E361" t="s">
        <v>641</v>
      </c>
      <c r="F361" s="1">
        <v>40984</v>
      </c>
      <c r="G361" t="s">
        <v>16</v>
      </c>
      <c r="J361" t="s">
        <v>1370</v>
      </c>
      <c r="K361" t="s">
        <v>309</v>
      </c>
      <c r="L361" t="s">
        <v>1371</v>
      </c>
      <c r="M361" t="s">
        <v>1372</v>
      </c>
      <c r="N361" t="s">
        <v>20</v>
      </c>
    </row>
    <row r="362" spans="1:14">
      <c r="A362">
        <v>902587</v>
      </c>
      <c r="B362" t="s">
        <v>1373</v>
      </c>
      <c r="C362" t="str">
        <f>"9780810855779"</f>
        <v>9780810855779</v>
      </c>
      <c r="D362" t="str">
        <f>"9780810873940"</f>
        <v>9780810873940</v>
      </c>
      <c r="E362" t="s">
        <v>1374</v>
      </c>
      <c r="F362" s="1">
        <v>41011</v>
      </c>
      <c r="G362" t="s">
        <v>16</v>
      </c>
      <c r="I362" t="s">
        <v>1375</v>
      </c>
      <c r="J362" t="s">
        <v>1376</v>
      </c>
      <c r="K362" t="s">
        <v>18</v>
      </c>
      <c r="L362">
        <v>810.98950000000002</v>
      </c>
      <c r="M362" t="s">
        <v>1377</v>
      </c>
      <c r="N362" t="s">
        <v>20</v>
      </c>
    </row>
    <row r="363" spans="1:14">
      <c r="A363">
        <v>909001</v>
      </c>
      <c r="B363" t="s">
        <v>1378</v>
      </c>
      <c r="C363" t="str">
        <f>"9780231130424"</f>
        <v>9780231130424</v>
      </c>
      <c r="D363" t="str">
        <f>"9780231503792"</f>
        <v>9780231503792</v>
      </c>
      <c r="E363" t="s">
        <v>1379</v>
      </c>
      <c r="F363" s="1">
        <v>39367</v>
      </c>
      <c r="G363" t="s">
        <v>16</v>
      </c>
      <c r="I363" t="s">
        <v>1380</v>
      </c>
      <c r="J363" t="s">
        <v>1381</v>
      </c>
      <c r="K363" t="s">
        <v>18</v>
      </c>
      <c r="L363">
        <v>820.99689100000001</v>
      </c>
      <c r="M363" t="s">
        <v>1382</v>
      </c>
      <c r="N363" t="s">
        <v>20</v>
      </c>
    </row>
    <row r="364" spans="1:14">
      <c r="A364">
        <v>912189</v>
      </c>
      <c r="B364" t="s">
        <v>1383</v>
      </c>
      <c r="C364" t="str">
        <f>"9780521727105"</f>
        <v>9780521727105</v>
      </c>
      <c r="D364" t="str">
        <f>"9781139079426"</f>
        <v>9781139079426</v>
      </c>
      <c r="E364" t="s">
        <v>33</v>
      </c>
      <c r="F364" s="1">
        <v>40210</v>
      </c>
      <c r="G364" t="s">
        <v>16</v>
      </c>
      <c r="H364">
        <v>2</v>
      </c>
      <c r="J364" t="s">
        <v>1384</v>
      </c>
      <c r="K364" t="s">
        <v>246</v>
      </c>
      <c r="L364">
        <v>616.85260000000005</v>
      </c>
      <c r="M364" t="s">
        <v>1385</v>
      </c>
      <c r="N364" t="s">
        <v>20</v>
      </c>
    </row>
    <row r="365" spans="1:14">
      <c r="A365">
        <v>914752</v>
      </c>
      <c r="B365" t="s">
        <v>1386</v>
      </c>
      <c r="C365" t="str">
        <f>"9780786468249"</f>
        <v>9780786468249</v>
      </c>
      <c r="D365" t="str">
        <f>"9780786490387"</f>
        <v>9780786490387</v>
      </c>
      <c r="E365" t="s">
        <v>641</v>
      </c>
      <c r="F365" s="1">
        <v>41015</v>
      </c>
      <c r="G365" t="s">
        <v>16</v>
      </c>
      <c r="J365" t="s">
        <v>647</v>
      </c>
      <c r="K365" t="s">
        <v>1387</v>
      </c>
      <c r="L365">
        <v>621.36699999999996</v>
      </c>
      <c r="M365" t="s">
        <v>1388</v>
      </c>
      <c r="N365" t="s">
        <v>20</v>
      </c>
    </row>
    <row r="366" spans="1:14">
      <c r="A366">
        <v>918172</v>
      </c>
      <c r="B366" t="s">
        <v>1389</v>
      </c>
      <c r="C366" t="str">
        <f>"9780470639177"</f>
        <v>9780470639177</v>
      </c>
      <c r="D366" t="str">
        <f>"9781118285275"</f>
        <v>9781118285275</v>
      </c>
      <c r="E366" t="s">
        <v>26</v>
      </c>
      <c r="F366" s="1">
        <v>41198</v>
      </c>
      <c r="G366" t="s">
        <v>16</v>
      </c>
      <c r="H366">
        <v>2</v>
      </c>
      <c r="J366" t="s">
        <v>1390</v>
      </c>
      <c r="K366" t="s">
        <v>1391</v>
      </c>
      <c r="L366">
        <v>614.15</v>
      </c>
      <c r="M366" t="s">
        <v>1392</v>
      </c>
      <c r="N366" t="s">
        <v>20</v>
      </c>
    </row>
    <row r="367" spans="1:14">
      <c r="A367">
        <v>918174</v>
      </c>
      <c r="B367" t="s">
        <v>1393</v>
      </c>
      <c r="C367" t="str">
        <f>"9780470647776"</f>
        <v>9780470647776</v>
      </c>
      <c r="D367" t="str">
        <f>"9781118285343"</f>
        <v>9781118285343</v>
      </c>
      <c r="E367" t="s">
        <v>26</v>
      </c>
      <c r="F367" s="1">
        <v>41198</v>
      </c>
      <c r="G367" t="s">
        <v>16</v>
      </c>
      <c r="H367">
        <v>2</v>
      </c>
      <c r="J367" t="s">
        <v>1394</v>
      </c>
      <c r="K367" t="s">
        <v>408</v>
      </c>
      <c r="L367">
        <v>370.15</v>
      </c>
      <c r="M367" t="s">
        <v>1395</v>
      </c>
      <c r="N367" t="s">
        <v>20</v>
      </c>
    </row>
    <row r="368" spans="1:14">
      <c r="A368">
        <v>918180</v>
      </c>
      <c r="B368" t="s">
        <v>1396</v>
      </c>
      <c r="C368" t="str">
        <f>"9780470891278"</f>
        <v>9780470891278</v>
      </c>
      <c r="D368" t="str">
        <f>"9781118286760"</f>
        <v>9781118286760</v>
      </c>
      <c r="E368" t="s">
        <v>26</v>
      </c>
      <c r="F368" s="1">
        <v>41198</v>
      </c>
      <c r="G368" t="s">
        <v>16</v>
      </c>
      <c r="H368">
        <v>2</v>
      </c>
      <c r="J368" t="s">
        <v>1397</v>
      </c>
      <c r="K368" t="s">
        <v>246</v>
      </c>
      <c r="L368">
        <v>153.93</v>
      </c>
      <c r="M368" t="s">
        <v>1398</v>
      </c>
      <c r="N368" t="s">
        <v>20</v>
      </c>
    </row>
    <row r="369" spans="1:14">
      <c r="A369">
        <v>919560</v>
      </c>
      <c r="B369" t="s">
        <v>1399</v>
      </c>
      <c r="C369" t="str">
        <f>"9789004221871"</f>
        <v>9789004221871</v>
      </c>
      <c r="D369" t="str">
        <f>"9789004226487"</f>
        <v>9789004226487</v>
      </c>
      <c r="E369" t="s">
        <v>468</v>
      </c>
      <c r="F369" s="1">
        <v>40996</v>
      </c>
      <c r="G369" t="s">
        <v>16</v>
      </c>
      <c r="H369">
        <v>1</v>
      </c>
      <c r="I369" t="s">
        <v>1400</v>
      </c>
      <c r="J369" t="s">
        <v>1401</v>
      </c>
      <c r="K369" t="s">
        <v>94</v>
      </c>
      <c r="L369">
        <v>200.904</v>
      </c>
      <c r="M369" t="s">
        <v>1402</v>
      </c>
      <c r="N369" t="s">
        <v>20</v>
      </c>
    </row>
    <row r="370" spans="1:14">
      <c r="A370">
        <v>928857</v>
      </c>
      <c r="B370" t="s">
        <v>1403</v>
      </c>
      <c r="C370" t="str">
        <f>"9780786448395"</f>
        <v>9780786448395</v>
      </c>
      <c r="D370" t="str">
        <f>"9780786493128"</f>
        <v>9780786493128</v>
      </c>
      <c r="E370" t="s">
        <v>641</v>
      </c>
      <c r="F370" s="1">
        <v>41043</v>
      </c>
      <c r="G370" t="s">
        <v>16</v>
      </c>
      <c r="H370">
        <v>4</v>
      </c>
      <c r="J370" t="s">
        <v>1404</v>
      </c>
      <c r="K370" t="s">
        <v>50</v>
      </c>
      <c r="L370">
        <v>973</v>
      </c>
      <c r="M370" t="s">
        <v>1405</v>
      </c>
      <c r="N370" t="s">
        <v>20</v>
      </c>
    </row>
    <row r="371" spans="1:14">
      <c r="A371">
        <v>943380</v>
      </c>
      <c r="B371" t="s">
        <v>1406</v>
      </c>
      <c r="C371" t="str">
        <f>"9780199735679"</f>
        <v>9780199735679</v>
      </c>
      <c r="D371" t="str">
        <f>"9780199749751"</f>
        <v>9780199749751</v>
      </c>
      <c r="E371" t="s">
        <v>750</v>
      </c>
      <c r="F371" s="1">
        <v>40772</v>
      </c>
      <c r="G371" t="s">
        <v>16</v>
      </c>
      <c r="I371" t="s">
        <v>1407</v>
      </c>
      <c r="J371" t="s">
        <v>1408</v>
      </c>
      <c r="K371" t="s">
        <v>155</v>
      </c>
      <c r="L371">
        <v>616.99449059999995</v>
      </c>
      <c r="M371" t="s">
        <v>1409</v>
      </c>
      <c r="N371" t="s">
        <v>20</v>
      </c>
    </row>
    <row r="372" spans="1:14">
      <c r="A372">
        <v>943954</v>
      </c>
      <c r="B372" t="s">
        <v>1410</v>
      </c>
      <c r="C372" t="str">
        <f>"9780786466016"</f>
        <v>9780786466016</v>
      </c>
      <c r="D372" t="str">
        <f>"9780786492770"</f>
        <v>9780786492770</v>
      </c>
      <c r="E372" t="s">
        <v>641</v>
      </c>
      <c r="F372" s="1">
        <v>41059</v>
      </c>
      <c r="G372" t="s">
        <v>16</v>
      </c>
      <c r="H372">
        <v>2</v>
      </c>
      <c r="J372" t="s">
        <v>1411</v>
      </c>
      <c r="K372" t="s">
        <v>50</v>
      </c>
      <c r="L372" t="s">
        <v>1412</v>
      </c>
      <c r="M372" t="s">
        <v>1413</v>
      </c>
      <c r="N372" t="s">
        <v>20</v>
      </c>
    </row>
    <row r="373" spans="1:14">
      <c r="A373">
        <v>945587</v>
      </c>
      <c r="B373" t="s">
        <v>1414</v>
      </c>
      <c r="C373" t="str">
        <f>"9781408159576"</f>
        <v>9781408159576</v>
      </c>
      <c r="D373" t="str">
        <f>"9781408171158"</f>
        <v>9781408171158</v>
      </c>
      <c r="E373" t="s">
        <v>1415</v>
      </c>
      <c r="F373" s="1">
        <v>41081</v>
      </c>
      <c r="G373" t="s">
        <v>16</v>
      </c>
      <c r="H373">
        <v>1</v>
      </c>
      <c r="J373" t="s">
        <v>1416</v>
      </c>
      <c r="K373" t="s">
        <v>50</v>
      </c>
      <c r="L373">
        <v>929.10285467799997</v>
      </c>
      <c r="M373" t="s">
        <v>1417</v>
      </c>
      <c r="N373" t="s">
        <v>20</v>
      </c>
    </row>
    <row r="374" spans="1:14">
      <c r="A374">
        <v>946962</v>
      </c>
      <c r="B374" t="s">
        <v>1418</v>
      </c>
      <c r="C374" t="str">
        <f>"9781118133521"</f>
        <v>9781118133521</v>
      </c>
      <c r="D374" t="str">
        <f>"9781118392379"</f>
        <v>9781118392379</v>
      </c>
      <c r="E374" t="s">
        <v>1419</v>
      </c>
      <c r="F374" s="1">
        <v>41198</v>
      </c>
      <c r="G374" t="s">
        <v>16</v>
      </c>
      <c r="H374">
        <v>1</v>
      </c>
      <c r="I374" t="s">
        <v>1420</v>
      </c>
      <c r="J374" t="s">
        <v>1421</v>
      </c>
      <c r="K374" t="s">
        <v>1422</v>
      </c>
      <c r="L374" t="s">
        <v>1423</v>
      </c>
      <c r="M374" t="s">
        <v>1424</v>
      </c>
      <c r="N374" t="s">
        <v>20</v>
      </c>
    </row>
    <row r="375" spans="1:14">
      <c r="A375">
        <v>947665</v>
      </c>
      <c r="B375" t="s">
        <v>1425</v>
      </c>
      <c r="C375" t="str">
        <f>"9781118312957"</f>
        <v>9781118312957</v>
      </c>
      <c r="D375" t="str">
        <f>"9781118463239"</f>
        <v>9781118463239</v>
      </c>
      <c r="E375" t="s">
        <v>26</v>
      </c>
      <c r="F375" s="1">
        <v>41121</v>
      </c>
      <c r="G375" t="s">
        <v>16</v>
      </c>
      <c r="H375">
        <v>1</v>
      </c>
      <c r="J375" t="s">
        <v>1426</v>
      </c>
      <c r="K375" t="s">
        <v>166</v>
      </c>
      <c r="L375">
        <v>320.60973000000001</v>
      </c>
      <c r="M375" t="s">
        <v>1427</v>
      </c>
      <c r="N375" t="s">
        <v>20</v>
      </c>
    </row>
    <row r="376" spans="1:14">
      <c r="A376">
        <v>947729</v>
      </c>
      <c r="B376" t="s">
        <v>1428</v>
      </c>
      <c r="C376" t="str">
        <f>"9781119968795"</f>
        <v>9781119968795</v>
      </c>
      <c r="D376" t="str">
        <f>"9781118454176"</f>
        <v>9781118454176</v>
      </c>
      <c r="E376" t="s">
        <v>26</v>
      </c>
      <c r="F376" s="1">
        <v>41372</v>
      </c>
      <c r="G376" t="s">
        <v>16</v>
      </c>
      <c r="H376">
        <v>1</v>
      </c>
      <c r="J376" t="s">
        <v>1429</v>
      </c>
      <c r="K376" t="s">
        <v>29</v>
      </c>
      <c r="L376">
        <v>657.45</v>
      </c>
      <c r="M376" t="s">
        <v>1430</v>
      </c>
      <c r="N376" t="s">
        <v>20</v>
      </c>
    </row>
    <row r="377" spans="1:14">
      <c r="A377">
        <v>950443</v>
      </c>
      <c r="B377" t="s">
        <v>1431</v>
      </c>
      <c r="C377" t="str">
        <f>"9780810871892"</f>
        <v>9780810871892</v>
      </c>
      <c r="D377" t="str">
        <f>"9780810873971"</f>
        <v>9780810873971</v>
      </c>
      <c r="E377" t="s">
        <v>1374</v>
      </c>
      <c r="F377" s="1">
        <v>41081</v>
      </c>
      <c r="G377" t="s">
        <v>16</v>
      </c>
      <c r="I377" t="s">
        <v>1375</v>
      </c>
      <c r="J377" t="s">
        <v>1432</v>
      </c>
      <c r="K377" t="s">
        <v>18</v>
      </c>
      <c r="L377">
        <v>810.90053999999998</v>
      </c>
      <c r="M377" t="s">
        <v>1433</v>
      </c>
      <c r="N377" t="s">
        <v>20</v>
      </c>
    </row>
    <row r="378" spans="1:14">
      <c r="A378">
        <v>975635</v>
      </c>
      <c r="B378" t="s">
        <v>1434</v>
      </c>
      <c r="C378" t="str">
        <f>"9780199602933"</f>
        <v>9780199602933</v>
      </c>
      <c r="D378" t="str">
        <f>"9780191631504"</f>
        <v>9780191631504</v>
      </c>
      <c r="E378" t="s">
        <v>750</v>
      </c>
      <c r="F378" s="1">
        <v>40878</v>
      </c>
      <c r="G378" t="s">
        <v>16</v>
      </c>
      <c r="H378">
        <v>2</v>
      </c>
      <c r="I378" t="s">
        <v>1435</v>
      </c>
      <c r="J378" t="s">
        <v>1436</v>
      </c>
      <c r="K378" t="s">
        <v>246</v>
      </c>
      <c r="L378">
        <v>616.85270000000003</v>
      </c>
      <c r="M378" t="s">
        <v>1437</v>
      </c>
      <c r="N378" t="s">
        <v>20</v>
      </c>
    </row>
    <row r="379" spans="1:14">
      <c r="A379">
        <v>978064</v>
      </c>
      <c r="B379" t="s">
        <v>1438</v>
      </c>
      <c r="C379" t="str">
        <f>"9780786468423"</f>
        <v>9780786468423</v>
      </c>
      <c r="D379" t="str">
        <f>"9780786492794"</f>
        <v>9780786492794</v>
      </c>
      <c r="E379" t="s">
        <v>641</v>
      </c>
      <c r="F379" s="1">
        <v>41078</v>
      </c>
      <c r="G379" t="s">
        <v>16</v>
      </c>
      <c r="J379" t="s">
        <v>1439</v>
      </c>
      <c r="K379" t="s">
        <v>35</v>
      </c>
      <c r="L379">
        <v>792.09730000000002</v>
      </c>
      <c r="M379" t="s">
        <v>1440</v>
      </c>
      <c r="N379" t="s">
        <v>20</v>
      </c>
    </row>
    <row r="380" spans="1:14">
      <c r="A380">
        <v>991769</v>
      </c>
      <c r="B380" t="s">
        <v>1441</v>
      </c>
      <c r="C380" t="str">
        <f>"9781118305492"</f>
        <v>9781118305492</v>
      </c>
      <c r="D380" t="str">
        <f>"9781118305478"</f>
        <v>9781118305478</v>
      </c>
      <c r="E380" t="s">
        <v>26</v>
      </c>
      <c r="F380" s="1">
        <v>41190</v>
      </c>
      <c r="G380" t="s">
        <v>16</v>
      </c>
      <c r="H380">
        <v>1</v>
      </c>
      <c r="I380" t="s">
        <v>349</v>
      </c>
      <c r="J380" t="s">
        <v>1442</v>
      </c>
      <c r="K380" t="s">
        <v>1313</v>
      </c>
      <c r="L380">
        <v>907.2</v>
      </c>
      <c r="M380" t="s">
        <v>1443</v>
      </c>
      <c r="N380" t="s">
        <v>20</v>
      </c>
    </row>
    <row r="381" spans="1:14">
      <c r="A381">
        <v>995795</v>
      </c>
      <c r="B381" t="s">
        <v>1444</v>
      </c>
      <c r="C381" t="str">
        <f>"9780786465576"</f>
        <v>9780786465576</v>
      </c>
      <c r="D381" t="str">
        <f>"9780786492954"</f>
        <v>9780786492954</v>
      </c>
      <c r="E381" t="s">
        <v>641</v>
      </c>
      <c r="F381" s="1">
        <v>41128</v>
      </c>
      <c r="G381" t="s">
        <v>16</v>
      </c>
      <c r="J381" t="s">
        <v>1445</v>
      </c>
      <c r="K381" t="s">
        <v>309</v>
      </c>
      <c r="L381" t="s">
        <v>1446</v>
      </c>
      <c r="M381" t="s">
        <v>1447</v>
      </c>
      <c r="N381" t="s">
        <v>20</v>
      </c>
    </row>
    <row r="382" spans="1:14">
      <c r="A382">
        <v>996610</v>
      </c>
      <c r="B382" t="s">
        <v>1448</v>
      </c>
      <c r="C382" t="str">
        <f>"9781412951531"</f>
        <v>9781412951531</v>
      </c>
      <c r="D382" t="str">
        <f>"9781452261737"</f>
        <v>9781452261737</v>
      </c>
      <c r="E382" t="s">
        <v>193</v>
      </c>
      <c r="F382" s="1">
        <v>40358</v>
      </c>
      <c r="G382" t="s">
        <v>16</v>
      </c>
      <c r="H382">
        <v>1</v>
      </c>
      <c r="J382" t="s">
        <v>1449</v>
      </c>
      <c r="K382" t="s">
        <v>1450</v>
      </c>
      <c r="L382">
        <v>302.5</v>
      </c>
      <c r="M382" t="s">
        <v>1451</v>
      </c>
      <c r="N382" t="s">
        <v>20</v>
      </c>
    </row>
    <row r="383" spans="1:14">
      <c r="A383">
        <v>996653</v>
      </c>
      <c r="B383" t="s">
        <v>1452</v>
      </c>
      <c r="C383" t="str">
        <f>"9781412942089"</f>
        <v>9781412942089</v>
      </c>
      <c r="D383" t="str">
        <f>"9781452261508"</f>
        <v>9781452261508</v>
      </c>
      <c r="E383" t="s">
        <v>193</v>
      </c>
      <c r="F383" s="1">
        <v>40128</v>
      </c>
      <c r="G383" t="s">
        <v>16</v>
      </c>
      <c r="H383">
        <v>1</v>
      </c>
      <c r="J383" t="s">
        <v>1453</v>
      </c>
      <c r="K383" t="s">
        <v>55</v>
      </c>
      <c r="L383">
        <v>302.3</v>
      </c>
      <c r="M383" t="s">
        <v>1454</v>
      </c>
      <c r="N383" t="s">
        <v>20</v>
      </c>
    </row>
    <row r="384" spans="1:14">
      <c r="A384">
        <v>996731</v>
      </c>
      <c r="B384" t="s">
        <v>1455</v>
      </c>
      <c r="C384" t="str">
        <f>"9781412909495"</f>
        <v>9781412909495</v>
      </c>
      <c r="D384" t="str">
        <f>"9781452265643"</f>
        <v>9781452265643</v>
      </c>
      <c r="E384" t="s">
        <v>193</v>
      </c>
      <c r="F384" s="1">
        <v>39185</v>
      </c>
      <c r="G384" t="s">
        <v>16</v>
      </c>
      <c r="H384">
        <v>1</v>
      </c>
      <c r="J384" t="s">
        <v>1456</v>
      </c>
      <c r="K384" t="s">
        <v>1457</v>
      </c>
      <c r="L384">
        <v>613.04380000000003</v>
      </c>
      <c r="M384" t="s">
        <v>1458</v>
      </c>
      <c r="N384" t="s">
        <v>20</v>
      </c>
    </row>
    <row r="385" spans="1:14">
      <c r="A385">
        <v>996732</v>
      </c>
      <c r="B385" t="s">
        <v>1459</v>
      </c>
      <c r="C385" t="str">
        <f>"9781412951784"</f>
        <v>9781412951784</v>
      </c>
      <c r="D385" t="str">
        <f>"9781452266169"</f>
        <v>9781452266169</v>
      </c>
      <c r="E385" t="s">
        <v>193</v>
      </c>
      <c r="F385" s="1">
        <v>40009</v>
      </c>
      <c r="G385" t="s">
        <v>16</v>
      </c>
      <c r="H385">
        <v>1</v>
      </c>
      <c r="J385" t="s">
        <v>1460</v>
      </c>
      <c r="K385" t="s">
        <v>55</v>
      </c>
      <c r="L385">
        <v>306.90300000000002</v>
      </c>
      <c r="M385" t="s">
        <v>1461</v>
      </c>
      <c r="N385" t="s">
        <v>20</v>
      </c>
    </row>
    <row r="386" spans="1:14">
      <c r="A386">
        <v>996733</v>
      </c>
      <c r="B386" t="s">
        <v>1462</v>
      </c>
      <c r="C386" t="str">
        <f>"9781412976954"</f>
        <v>9781412976954</v>
      </c>
      <c r="D386" t="str">
        <f>"9781452266282"</f>
        <v>9781452266282</v>
      </c>
      <c r="E386" t="s">
        <v>193</v>
      </c>
      <c r="F386" s="1">
        <v>40555</v>
      </c>
      <c r="G386" t="s">
        <v>16</v>
      </c>
      <c r="H386">
        <v>1</v>
      </c>
      <c r="J386" t="s">
        <v>1463</v>
      </c>
      <c r="K386" t="s">
        <v>55</v>
      </c>
      <c r="L386">
        <v>363.45097303</v>
      </c>
      <c r="M386" t="s">
        <v>1464</v>
      </c>
      <c r="N386" t="s">
        <v>20</v>
      </c>
    </row>
    <row r="387" spans="1:14">
      <c r="A387">
        <v>996749</v>
      </c>
      <c r="B387" t="s">
        <v>1465</v>
      </c>
      <c r="C387" t="str">
        <f>"9781412979115"</f>
        <v>9781412979115</v>
      </c>
      <c r="D387" t="str">
        <f>"9781452266503"</f>
        <v>9781452266503</v>
      </c>
      <c r="E387" t="s">
        <v>193</v>
      </c>
      <c r="F387" s="1">
        <v>40793</v>
      </c>
      <c r="G387" t="s">
        <v>16</v>
      </c>
      <c r="H387">
        <v>1</v>
      </c>
      <c r="J387" t="s">
        <v>1466</v>
      </c>
      <c r="K387" t="s">
        <v>55</v>
      </c>
      <c r="L387">
        <v>302.3</v>
      </c>
      <c r="M387" t="s">
        <v>1467</v>
      </c>
      <c r="N387" t="s">
        <v>20</v>
      </c>
    </row>
    <row r="388" spans="1:14">
      <c r="A388">
        <v>996750</v>
      </c>
      <c r="B388" t="s">
        <v>1468</v>
      </c>
      <c r="C388" t="str">
        <f>"9781412940795"</f>
        <v>9781412940795</v>
      </c>
      <c r="D388" t="str">
        <f>"9781452265902"</f>
        <v>9781452265902</v>
      </c>
      <c r="E388" t="s">
        <v>193</v>
      </c>
      <c r="F388" s="1">
        <v>39626</v>
      </c>
      <c r="G388" t="s">
        <v>16</v>
      </c>
      <c r="H388">
        <v>1</v>
      </c>
      <c r="J388" t="s">
        <v>1469</v>
      </c>
      <c r="K388" t="s">
        <v>269</v>
      </c>
      <c r="L388">
        <v>344.73</v>
      </c>
      <c r="M388" t="s">
        <v>1470</v>
      </c>
      <c r="N388" t="s">
        <v>20</v>
      </c>
    </row>
    <row r="389" spans="1:14">
      <c r="A389">
        <v>996789</v>
      </c>
      <c r="B389" t="s">
        <v>1471</v>
      </c>
      <c r="C389" t="str">
        <f>"9780761926887"</f>
        <v>9780761926887</v>
      </c>
      <c r="D389" t="str">
        <f>"9781452266329"</f>
        <v>9781452266329</v>
      </c>
      <c r="E389" t="s">
        <v>193</v>
      </c>
      <c r="F389" s="1">
        <v>40479</v>
      </c>
      <c r="G389" t="s">
        <v>16</v>
      </c>
      <c r="H389">
        <v>1</v>
      </c>
      <c r="J389" t="s">
        <v>1472</v>
      </c>
      <c r="K389" t="s">
        <v>55</v>
      </c>
      <c r="L389">
        <v>302.23</v>
      </c>
      <c r="M389" t="s">
        <v>1473</v>
      </c>
      <c r="N389" t="s">
        <v>20</v>
      </c>
    </row>
    <row r="390" spans="1:14">
      <c r="A390">
        <v>996790</v>
      </c>
      <c r="B390" t="s">
        <v>1474</v>
      </c>
      <c r="C390" t="str">
        <f>"9781412960472"</f>
        <v>9781412960472</v>
      </c>
      <c r="D390" t="str">
        <f>"9781452266374"</f>
        <v>9781452266374</v>
      </c>
      <c r="E390" t="s">
        <v>193</v>
      </c>
      <c r="F390" s="1">
        <v>40211</v>
      </c>
      <c r="G390" t="s">
        <v>16</v>
      </c>
      <c r="H390">
        <v>1</v>
      </c>
      <c r="J390" t="s">
        <v>1475</v>
      </c>
      <c r="K390" t="s">
        <v>55</v>
      </c>
      <c r="L390">
        <v>362.88097303000001</v>
      </c>
      <c r="M390" t="s">
        <v>1476</v>
      </c>
      <c r="N390" t="s">
        <v>20</v>
      </c>
    </row>
    <row r="391" spans="1:14">
      <c r="A391">
        <v>996798</v>
      </c>
      <c r="B391" t="s">
        <v>1477</v>
      </c>
      <c r="C391" t="str">
        <f>"9781412980166"</f>
        <v>9781412980166</v>
      </c>
      <c r="D391" t="str">
        <f>"9781452266381"</f>
        <v>9781452266381</v>
      </c>
      <c r="E391" t="s">
        <v>193</v>
      </c>
      <c r="F391" s="1">
        <v>40709</v>
      </c>
      <c r="G391" t="s">
        <v>16</v>
      </c>
      <c r="H391">
        <v>1</v>
      </c>
      <c r="J391" t="s">
        <v>1478</v>
      </c>
      <c r="K391" t="s">
        <v>55</v>
      </c>
      <c r="L391">
        <v>363.32503000000003</v>
      </c>
      <c r="M391" t="s">
        <v>1479</v>
      </c>
      <c r="N391" t="s">
        <v>20</v>
      </c>
    </row>
    <row r="392" spans="1:14">
      <c r="A392">
        <v>996805</v>
      </c>
      <c r="B392" t="s">
        <v>1480</v>
      </c>
      <c r="C392" t="str">
        <f>"9781412961271"</f>
        <v>9781412961271</v>
      </c>
      <c r="D392" t="str">
        <f>"9781452265827"</f>
        <v>9781452265827</v>
      </c>
      <c r="E392" t="s">
        <v>193</v>
      </c>
      <c r="F392" s="1">
        <v>40351</v>
      </c>
      <c r="G392" t="s">
        <v>16</v>
      </c>
      <c r="H392">
        <v>1</v>
      </c>
      <c r="J392" t="s">
        <v>1481</v>
      </c>
      <c r="K392" t="s">
        <v>1482</v>
      </c>
      <c r="L392">
        <v>1.4</v>
      </c>
      <c r="M392" t="s">
        <v>1483</v>
      </c>
      <c r="N392" t="s">
        <v>20</v>
      </c>
    </row>
    <row r="393" spans="1:14">
      <c r="A393">
        <v>996806</v>
      </c>
      <c r="B393" t="s">
        <v>1484</v>
      </c>
      <c r="C393" t="str">
        <f>"9781412959209"</f>
        <v>9781412959209</v>
      </c>
      <c r="D393" t="str">
        <f>"9781452265780"</f>
        <v>9781452265780</v>
      </c>
      <c r="E393" t="s">
        <v>193</v>
      </c>
      <c r="F393" s="1">
        <v>40373</v>
      </c>
      <c r="G393" t="s">
        <v>16</v>
      </c>
      <c r="H393">
        <v>1</v>
      </c>
      <c r="J393" t="s">
        <v>1485</v>
      </c>
      <c r="K393" t="s">
        <v>1486</v>
      </c>
      <c r="L393">
        <v>501</v>
      </c>
      <c r="M393" t="s">
        <v>1487</v>
      </c>
      <c r="N393" t="s">
        <v>20</v>
      </c>
    </row>
    <row r="394" spans="1:14">
      <c r="A394">
        <v>996848</v>
      </c>
      <c r="B394" t="s">
        <v>1488</v>
      </c>
      <c r="C394" t="str">
        <f>"9780761927297"</f>
        <v>9780761927297</v>
      </c>
      <c r="D394" t="str">
        <f>"9781452266565"</f>
        <v>9781452266565</v>
      </c>
      <c r="E394" t="s">
        <v>193</v>
      </c>
      <c r="F394" s="1">
        <v>40834</v>
      </c>
      <c r="G394" t="s">
        <v>16</v>
      </c>
      <c r="H394">
        <v>1</v>
      </c>
      <c r="J394" t="s">
        <v>1489</v>
      </c>
      <c r="K394" t="s">
        <v>94</v>
      </c>
      <c r="L394">
        <v>200.3</v>
      </c>
      <c r="M394" t="s">
        <v>1490</v>
      </c>
      <c r="N394" t="s">
        <v>20</v>
      </c>
    </row>
    <row r="395" spans="1:14">
      <c r="A395">
        <v>996852</v>
      </c>
      <c r="B395" t="s">
        <v>1491</v>
      </c>
      <c r="C395" t="str">
        <f>"9781412956642"</f>
        <v>9781412956642</v>
      </c>
      <c r="D395" t="str">
        <f>"9781452265735"</f>
        <v>9781452265735</v>
      </c>
      <c r="E395" t="s">
        <v>193</v>
      </c>
      <c r="F395" s="1">
        <v>40198</v>
      </c>
      <c r="G395" t="s">
        <v>16</v>
      </c>
      <c r="H395">
        <v>1</v>
      </c>
      <c r="J395" t="s">
        <v>1492</v>
      </c>
      <c r="K395" t="s">
        <v>408</v>
      </c>
      <c r="L395">
        <v>371.20097299999998</v>
      </c>
      <c r="M395" t="s">
        <v>1493</v>
      </c>
      <c r="N395" t="s">
        <v>20</v>
      </c>
    </row>
    <row r="396" spans="1:14">
      <c r="A396">
        <v>996877</v>
      </c>
      <c r="B396" t="s">
        <v>1494</v>
      </c>
      <c r="C396" t="str">
        <f>"9781412950848"</f>
        <v>9781412950848</v>
      </c>
      <c r="D396" t="str">
        <f>"9781452266015"</f>
        <v>9781452266015</v>
      </c>
      <c r="E396" t="s">
        <v>193</v>
      </c>
      <c r="F396" s="1">
        <v>39764</v>
      </c>
      <c r="G396" t="s">
        <v>16</v>
      </c>
      <c r="H396">
        <v>1</v>
      </c>
      <c r="J396" t="s">
        <v>1495</v>
      </c>
      <c r="K396" t="s">
        <v>1496</v>
      </c>
      <c r="L396">
        <v>362.2903</v>
      </c>
      <c r="M396" t="s">
        <v>1497</v>
      </c>
      <c r="N396" t="s">
        <v>20</v>
      </c>
    </row>
    <row r="397" spans="1:14">
      <c r="A397">
        <v>996893</v>
      </c>
      <c r="B397" t="s">
        <v>1498</v>
      </c>
      <c r="C397" t="str">
        <f>"9781412959186"</f>
        <v>9781412959186</v>
      </c>
      <c r="D397" t="str">
        <f>"9781452265773"</f>
        <v>9781452265773</v>
      </c>
      <c r="E397" t="s">
        <v>193</v>
      </c>
      <c r="F397" s="1">
        <v>40444</v>
      </c>
      <c r="G397" t="s">
        <v>16</v>
      </c>
      <c r="H397">
        <v>1</v>
      </c>
      <c r="J397" t="s">
        <v>1499</v>
      </c>
      <c r="K397" t="s">
        <v>55</v>
      </c>
      <c r="L397">
        <v>364.01</v>
      </c>
      <c r="M397" t="s">
        <v>1500</v>
      </c>
      <c r="N397" t="s">
        <v>20</v>
      </c>
    </row>
    <row r="398" spans="1:14">
      <c r="A398">
        <v>996907</v>
      </c>
      <c r="B398" t="s">
        <v>1501</v>
      </c>
      <c r="C398" t="str">
        <f>"9780761926498"</f>
        <v>9780761926498</v>
      </c>
      <c r="D398" t="str">
        <f>"9781452265322"</f>
        <v>9781452265322</v>
      </c>
      <c r="E398" t="s">
        <v>193</v>
      </c>
      <c r="F398" s="1">
        <v>38336</v>
      </c>
      <c r="G398" t="s">
        <v>16</v>
      </c>
      <c r="H398">
        <v>1</v>
      </c>
      <c r="J398" t="s">
        <v>1502</v>
      </c>
      <c r="K398" t="s">
        <v>55</v>
      </c>
      <c r="L398">
        <v>363.2</v>
      </c>
      <c r="M398" t="s">
        <v>1503</v>
      </c>
      <c r="N398" t="s">
        <v>20</v>
      </c>
    </row>
    <row r="399" spans="1:14">
      <c r="A399">
        <v>996924</v>
      </c>
      <c r="B399" t="s">
        <v>1504</v>
      </c>
      <c r="C399" t="str">
        <f>"9781412927482"</f>
        <v>9781412927482</v>
      </c>
      <c r="D399" t="str">
        <f>"9781452266411"</f>
        <v>9781452266411</v>
      </c>
      <c r="E399" t="s">
        <v>193</v>
      </c>
      <c r="F399" s="1">
        <v>40575</v>
      </c>
      <c r="G399" t="s">
        <v>16</v>
      </c>
      <c r="H399">
        <v>1</v>
      </c>
      <c r="J399" t="s">
        <v>1505</v>
      </c>
      <c r="K399" t="s">
        <v>55</v>
      </c>
      <c r="L399">
        <v>303.303</v>
      </c>
      <c r="M399" t="s">
        <v>1506</v>
      </c>
      <c r="N399" t="s">
        <v>20</v>
      </c>
    </row>
    <row r="400" spans="1:14">
      <c r="A400">
        <v>996935</v>
      </c>
      <c r="B400" t="s">
        <v>1507</v>
      </c>
      <c r="C400" t="str">
        <f>"9781412909167"</f>
        <v>9781412909167</v>
      </c>
      <c r="D400" t="str">
        <f>"9781452266022"</f>
        <v>9781452266022</v>
      </c>
      <c r="E400" t="s">
        <v>193</v>
      </c>
      <c r="F400" s="1">
        <v>39778</v>
      </c>
      <c r="G400" t="s">
        <v>16</v>
      </c>
      <c r="H400">
        <v>1</v>
      </c>
      <c r="J400" t="s">
        <v>1508</v>
      </c>
      <c r="K400" t="s">
        <v>55</v>
      </c>
      <c r="L400">
        <v>305.3</v>
      </c>
      <c r="M400" t="s">
        <v>1509</v>
      </c>
      <c r="N400" t="s">
        <v>20</v>
      </c>
    </row>
    <row r="401" spans="1:14">
      <c r="A401">
        <v>996954</v>
      </c>
      <c r="B401" t="s">
        <v>1510</v>
      </c>
      <c r="C401" t="str">
        <f>"9780761926115"</f>
        <v>9780761926115</v>
      </c>
      <c r="D401" t="str">
        <f>"9781452265469"</f>
        <v>9781452265469</v>
      </c>
      <c r="E401" t="s">
        <v>193</v>
      </c>
      <c r="F401" s="1">
        <v>38218</v>
      </c>
      <c r="G401" t="s">
        <v>16</v>
      </c>
      <c r="H401">
        <v>1</v>
      </c>
      <c r="J401" t="s">
        <v>1247</v>
      </c>
      <c r="K401" t="s">
        <v>55</v>
      </c>
      <c r="L401">
        <v>301.01</v>
      </c>
      <c r="M401" t="s">
        <v>1511</v>
      </c>
      <c r="N401" t="s">
        <v>20</v>
      </c>
    </row>
    <row r="402" spans="1:14">
      <c r="A402">
        <v>996964</v>
      </c>
      <c r="B402" t="s">
        <v>1512</v>
      </c>
      <c r="C402" t="str">
        <f>"9781412917995"</f>
        <v>9781412917995</v>
      </c>
      <c r="D402" t="str">
        <f>"9781452265629"</f>
        <v>9781452265629</v>
      </c>
      <c r="E402" t="s">
        <v>193</v>
      </c>
      <c r="F402" s="1">
        <v>39437</v>
      </c>
      <c r="G402" t="s">
        <v>16</v>
      </c>
      <c r="H402">
        <v>1</v>
      </c>
      <c r="J402" t="s">
        <v>1513</v>
      </c>
      <c r="K402" t="s">
        <v>166</v>
      </c>
      <c r="L402">
        <v>320.01400000000001</v>
      </c>
      <c r="M402" t="s">
        <v>1514</v>
      </c>
      <c r="N402" t="s">
        <v>20</v>
      </c>
    </row>
    <row r="403" spans="1:14">
      <c r="A403">
        <v>996971</v>
      </c>
      <c r="B403" t="s">
        <v>1515</v>
      </c>
      <c r="C403" t="str">
        <f>"9781412997218"</f>
        <v>9781412997218</v>
      </c>
      <c r="D403" t="str">
        <f>"9781452267463"</f>
        <v>9781452267463</v>
      </c>
      <c r="E403" t="s">
        <v>193</v>
      </c>
      <c r="F403" s="1">
        <v>40616</v>
      </c>
      <c r="G403" t="s">
        <v>16</v>
      </c>
      <c r="H403">
        <v>1</v>
      </c>
      <c r="J403" t="s">
        <v>1516</v>
      </c>
      <c r="K403" t="s">
        <v>1517</v>
      </c>
      <c r="L403">
        <v>174.4</v>
      </c>
      <c r="M403" t="s">
        <v>1518</v>
      </c>
      <c r="N403" t="s">
        <v>20</v>
      </c>
    </row>
    <row r="404" spans="1:14">
      <c r="A404">
        <v>996979</v>
      </c>
      <c r="B404" t="s">
        <v>1519</v>
      </c>
      <c r="C404" t="str">
        <f>"9781412958653"</f>
        <v>9781412958653</v>
      </c>
      <c r="D404" t="str">
        <f>"9781452265759"</f>
        <v>9781452265759</v>
      </c>
      <c r="E404" t="s">
        <v>193</v>
      </c>
      <c r="F404" s="1">
        <v>40255</v>
      </c>
      <c r="G404" t="s">
        <v>16</v>
      </c>
      <c r="H404">
        <v>1</v>
      </c>
      <c r="J404" t="s">
        <v>1520</v>
      </c>
      <c r="K404" t="s">
        <v>166</v>
      </c>
      <c r="L404">
        <v>320.01</v>
      </c>
      <c r="M404" t="s">
        <v>1521</v>
      </c>
      <c r="N404" t="s">
        <v>20</v>
      </c>
    </row>
    <row r="405" spans="1:14">
      <c r="A405">
        <v>997533</v>
      </c>
      <c r="B405" t="s">
        <v>1522</v>
      </c>
      <c r="C405" t="str">
        <f>"9780786463855"</f>
        <v>9780786463855</v>
      </c>
      <c r="D405" t="str">
        <f>"9780786490288"</f>
        <v>9780786490288</v>
      </c>
      <c r="E405" t="s">
        <v>641</v>
      </c>
      <c r="F405" s="1">
        <v>41121</v>
      </c>
      <c r="G405" t="s">
        <v>16</v>
      </c>
      <c r="J405" t="s">
        <v>932</v>
      </c>
      <c r="K405" t="s">
        <v>50</v>
      </c>
      <c r="L405" t="s">
        <v>1523</v>
      </c>
      <c r="M405" t="s">
        <v>1524</v>
      </c>
      <c r="N405" t="s">
        <v>20</v>
      </c>
    </row>
    <row r="406" spans="1:14">
      <c r="A406">
        <v>997578</v>
      </c>
      <c r="B406" t="s">
        <v>1525</v>
      </c>
      <c r="C406" t="str">
        <f>"9780810882706"</f>
        <v>9780810882706</v>
      </c>
      <c r="D406" t="str">
        <f>"9780810882713"</f>
        <v>9780810882713</v>
      </c>
      <c r="E406" t="s">
        <v>1374</v>
      </c>
      <c r="F406" s="1">
        <v>41137</v>
      </c>
      <c r="G406" t="s">
        <v>16</v>
      </c>
      <c r="J406" t="s">
        <v>1526</v>
      </c>
      <c r="K406" t="s">
        <v>35</v>
      </c>
      <c r="L406">
        <v>784.19200000000001</v>
      </c>
      <c r="M406" t="s">
        <v>1527</v>
      </c>
      <c r="N406" t="s">
        <v>20</v>
      </c>
    </row>
    <row r="407" spans="1:14">
      <c r="A407">
        <v>998952</v>
      </c>
      <c r="B407" t="s">
        <v>1528</v>
      </c>
      <c r="C407" t="str">
        <f>"9780199812929"</f>
        <v>9780199812929</v>
      </c>
      <c r="D407" t="str">
        <f>"9780199812912"</f>
        <v>9780199812912</v>
      </c>
      <c r="E407" t="s">
        <v>750</v>
      </c>
      <c r="F407" s="1">
        <v>41107</v>
      </c>
      <c r="G407" t="s">
        <v>16</v>
      </c>
      <c r="I407" t="s">
        <v>1100</v>
      </c>
      <c r="J407" t="s">
        <v>1529</v>
      </c>
      <c r="K407" t="s">
        <v>1530</v>
      </c>
      <c r="L407">
        <v>333.79</v>
      </c>
      <c r="M407" t="s">
        <v>1531</v>
      </c>
      <c r="N407" t="s">
        <v>20</v>
      </c>
    </row>
    <row r="408" spans="1:14">
      <c r="A408">
        <v>1012773</v>
      </c>
      <c r="B408" t="s">
        <v>1532</v>
      </c>
      <c r="C408" t="str">
        <f>"9789004212176"</f>
        <v>9789004212176</v>
      </c>
      <c r="D408" t="str">
        <f>"9789004206823"</f>
        <v>9789004206823</v>
      </c>
      <c r="E408" t="s">
        <v>468</v>
      </c>
      <c r="F408" s="1">
        <v>41138</v>
      </c>
      <c r="G408" t="s">
        <v>16</v>
      </c>
      <c r="H408">
        <v>1</v>
      </c>
      <c r="I408" t="s">
        <v>1533</v>
      </c>
      <c r="J408" t="s">
        <v>1534</v>
      </c>
      <c r="K408" t="s">
        <v>1233</v>
      </c>
      <c r="L408">
        <v>355.00819999999999</v>
      </c>
      <c r="M408" t="s">
        <v>1535</v>
      </c>
      <c r="N408" t="s">
        <v>20</v>
      </c>
    </row>
    <row r="409" spans="1:14">
      <c r="A409">
        <v>1014234</v>
      </c>
      <c r="B409" t="s">
        <v>1536</v>
      </c>
      <c r="C409" t="str">
        <f>"9780810867574"</f>
        <v>9780810867574</v>
      </c>
      <c r="D409" t="str">
        <f>"9780810878983"</f>
        <v>9780810878983</v>
      </c>
      <c r="E409" t="s">
        <v>1374</v>
      </c>
      <c r="F409" s="1">
        <v>41165</v>
      </c>
      <c r="G409" t="s">
        <v>16</v>
      </c>
      <c r="I409" t="s">
        <v>1375</v>
      </c>
      <c r="J409" t="s">
        <v>1537</v>
      </c>
      <c r="K409" t="s">
        <v>35</v>
      </c>
      <c r="L409">
        <v>781.65030000000002</v>
      </c>
      <c r="M409" t="s">
        <v>1538</v>
      </c>
      <c r="N409" t="s">
        <v>20</v>
      </c>
    </row>
    <row r="410" spans="1:14">
      <c r="A410">
        <v>1015304</v>
      </c>
      <c r="B410" t="s">
        <v>1539</v>
      </c>
      <c r="C410" t="str">
        <f>"9780195396218"</f>
        <v>9780195396218</v>
      </c>
      <c r="D410" t="str">
        <f>"9780199978625"</f>
        <v>9780199978625</v>
      </c>
      <c r="E410" t="s">
        <v>703</v>
      </c>
      <c r="F410" s="1">
        <v>41186</v>
      </c>
      <c r="G410" t="s">
        <v>16</v>
      </c>
      <c r="H410" t="s">
        <v>1540</v>
      </c>
      <c r="J410" t="s">
        <v>1541</v>
      </c>
      <c r="K410" t="s">
        <v>502</v>
      </c>
      <c r="L410" t="s">
        <v>1542</v>
      </c>
      <c r="M410" t="s">
        <v>1543</v>
      </c>
      <c r="N410" t="s">
        <v>20</v>
      </c>
    </row>
    <row r="411" spans="1:14">
      <c r="A411">
        <v>1015307</v>
      </c>
      <c r="B411" t="s">
        <v>1544</v>
      </c>
      <c r="C411" t="str">
        <f>"9780195159318"</f>
        <v>9780195159318</v>
      </c>
      <c r="D411" t="str">
        <f>"9780199978601"</f>
        <v>9780199978601</v>
      </c>
      <c r="E411" t="s">
        <v>1283</v>
      </c>
      <c r="F411" s="1">
        <v>41135</v>
      </c>
      <c r="G411" t="s">
        <v>16</v>
      </c>
      <c r="J411" t="s">
        <v>1545</v>
      </c>
      <c r="K411" t="s">
        <v>50</v>
      </c>
      <c r="L411">
        <v>950.1</v>
      </c>
      <c r="M411" t="s">
        <v>1546</v>
      </c>
      <c r="N411" t="s">
        <v>20</v>
      </c>
    </row>
    <row r="412" spans="1:14">
      <c r="A412">
        <v>1016412</v>
      </c>
      <c r="B412" t="s">
        <v>1547</v>
      </c>
      <c r="C412" t="str">
        <f>"9781412958837"</f>
        <v>9781412958837</v>
      </c>
      <c r="D412" t="str">
        <f>"9781452265766"</f>
        <v>9781452265766</v>
      </c>
      <c r="E412" t="s">
        <v>193</v>
      </c>
      <c r="F412" s="1">
        <v>40225</v>
      </c>
      <c r="G412" t="s">
        <v>16</v>
      </c>
      <c r="H412">
        <v>1</v>
      </c>
      <c r="J412" t="s">
        <v>1548</v>
      </c>
      <c r="K412" t="s">
        <v>408</v>
      </c>
      <c r="L412">
        <v>375.00029999999998</v>
      </c>
      <c r="M412" t="s">
        <v>1549</v>
      </c>
      <c r="N412" t="s">
        <v>20</v>
      </c>
    </row>
    <row r="413" spans="1:14">
      <c r="A413">
        <v>1016415</v>
      </c>
      <c r="B413" t="s">
        <v>1550</v>
      </c>
      <c r="C413" t="str">
        <f>"9781412969185"</f>
        <v>9781412969185</v>
      </c>
      <c r="D413" t="str">
        <f>"9781452266404"</f>
        <v>9781452266404</v>
      </c>
      <c r="E413" t="s">
        <v>193</v>
      </c>
      <c r="F413" s="1">
        <v>40563</v>
      </c>
      <c r="G413" t="s">
        <v>16</v>
      </c>
      <c r="H413">
        <v>1</v>
      </c>
      <c r="J413" t="s">
        <v>1551</v>
      </c>
      <c r="K413" t="s">
        <v>400</v>
      </c>
      <c r="L413">
        <v>610</v>
      </c>
      <c r="M413" t="s">
        <v>1552</v>
      </c>
      <c r="N413" t="s">
        <v>20</v>
      </c>
    </row>
    <row r="414" spans="1:14">
      <c r="A414">
        <v>1017176</v>
      </c>
      <c r="B414" t="s">
        <v>1553</v>
      </c>
      <c r="C414" t="str">
        <f>"9781118232729"</f>
        <v>9781118232729</v>
      </c>
      <c r="D414" t="str">
        <f>"9781118232750"</f>
        <v>9781118232750</v>
      </c>
      <c r="E414" t="s">
        <v>26</v>
      </c>
      <c r="F414" s="1">
        <v>41218</v>
      </c>
      <c r="G414" t="s">
        <v>16</v>
      </c>
      <c r="H414">
        <v>1</v>
      </c>
      <c r="I414" t="s">
        <v>555</v>
      </c>
      <c r="J414" t="s">
        <v>1554</v>
      </c>
      <c r="K414" t="s">
        <v>94</v>
      </c>
      <c r="L414">
        <v>248.22</v>
      </c>
      <c r="M414" t="s">
        <v>1555</v>
      </c>
      <c r="N414" t="s">
        <v>20</v>
      </c>
    </row>
    <row r="415" spans="1:14">
      <c r="A415">
        <v>1023027</v>
      </c>
      <c r="B415" t="s">
        <v>1556</v>
      </c>
      <c r="C415" t="str">
        <f>"9780231112918"</f>
        <v>9780231112918</v>
      </c>
      <c r="D415" t="str">
        <f>"9780231504836"</f>
        <v>9780231504836</v>
      </c>
      <c r="E415" t="s">
        <v>1379</v>
      </c>
      <c r="F415" s="1">
        <v>36831</v>
      </c>
      <c r="G415" t="s">
        <v>16</v>
      </c>
      <c r="J415" t="s">
        <v>1557</v>
      </c>
      <c r="K415" t="s">
        <v>1558</v>
      </c>
      <c r="L415">
        <v>82</v>
      </c>
      <c r="M415" t="s">
        <v>1559</v>
      </c>
      <c r="N415" t="s">
        <v>20</v>
      </c>
    </row>
    <row r="416" spans="1:14">
      <c r="A416">
        <v>1031972</v>
      </c>
      <c r="B416" t="s">
        <v>1560</v>
      </c>
      <c r="C416" t="str">
        <f>"9780759122031"</f>
        <v>9780759122031</v>
      </c>
      <c r="D416" t="str">
        <f>"9780759122048"</f>
        <v>9780759122048</v>
      </c>
      <c r="E416" t="s">
        <v>1561</v>
      </c>
      <c r="F416" s="1">
        <v>41183</v>
      </c>
      <c r="G416" t="s">
        <v>16</v>
      </c>
      <c r="H416">
        <v>2</v>
      </c>
      <c r="I416" t="s">
        <v>1562</v>
      </c>
      <c r="J416" t="s">
        <v>1563</v>
      </c>
      <c r="K416" t="s">
        <v>55</v>
      </c>
      <c r="L416">
        <v>305.80072000000001</v>
      </c>
      <c r="M416" t="s">
        <v>1564</v>
      </c>
      <c r="N416" t="s">
        <v>20</v>
      </c>
    </row>
    <row r="417" spans="1:14">
      <c r="A417">
        <v>1033794</v>
      </c>
      <c r="B417" t="s">
        <v>1565</v>
      </c>
      <c r="C417" t="str">
        <f>"9780230230316"</f>
        <v>9780230230316</v>
      </c>
      <c r="D417" t="str">
        <f>"9780230290334"</f>
        <v>9780230290334</v>
      </c>
      <c r="E417" t="s">
        <v>145</v>
      </c>
      <c r="F417" s="1">
        <v>40366</v>
      </c>
      <c r="G417" t="s">
        <v>16</v>
      </c>
      <c r="H417">
        <v>2</v>
      </c>
      <c r="J417" t="s">
        <v>1566</v>
      </c>
      <c r="K417" t="s">
        <v>55</v>
      </c>
      <c r="L417">
        <v>305.3</v>
      </c>
      <c r="M417" t="s">
        <v>1567</v>
      </c>
      <c r="N417" t="s">
        <v>20</v>
      </c>
    </row>
    <row r="418" spans="1:14">
      <c r="A418">
        <v>1033803</v>
      </c>
      <c r="B418" t="s">
        <v>1568</v>
      </c>
      <c r="C418" t="str">
        <f>"9780230238312"</f>
        <v>9780230238312</v>
      </c>
      <c r="D418" t="str">
        <f>"9780230321458"</f>
        <v>9780230321458</v>
      </c>
      <c r="E418" t="s">
        <v>145</v>
      </c>
      <c r="F418" s="1">
        <v>40771</v>
      </c>
      <c r="G418" t="s">
        <v>16</v>
      </c>
      <c r="J418" t="s">
        <v>1569</v>
      </c>
      <c r="K418" t="s">
        <v>1570</v>
      </c>
      <c r="L418" t="s">
        <v>1571</v>
      </c>
      <c r="M418" t="s">
        <v>1572</v>
      </c>
      <c r="N418" t="s">
        <v>20</v>
      </c>
    </row>
    <row r="419" spans="1:14">
      <c r="A419">
        <v>1034726</v>
      </c>
      <c r="B419" t="s">
        <v>1573</v>
      </c>
      <c r="C419" t="str">
        <f>"9781442211193"</f>
        <v>9781442211193</v>
      </c>
      <c r="D419" t="str">
        <f>"9781442211216"</f>
        <v>9781442211216</v>
      </c>
      <c r="E419" t="s">
        <v>1574</v>
      </c>
      <c r="F419" s="1">
        <v>41194</v>
      </c>
      <c r="G419" t="s">
        <v>16</v>
      </c>
      <c r="J419" t="s">
        <v>1575</v>
      </c>
      <c r="K419" t="s">
        <v>408</v>
      </c>
      <c r="L419">
        <v>370.11500000000001</v>
      </c>
      <c r="M419" t="s">
        <v>1576</v>
      </c>
      <c r="N419" t="s">
        <v>20</v>
      </c>
    </row>
    <row r="420" spans="1:14">
      <c r="A420">
        <v>1037804</v>
      </c>
      <c r="B420" t="s">
        <v>1577</v>
      </c>
      <c r="C420" t="str">
        <f>"9780759121133"</f>
        <v>9780759121133</v>
      </c>
      <c r="D420" t="str">
        <f>"9780759121157"</f>
        <v>9780759121157</v>
      </c>
      <c r="E420" t="s">
        <v>1561</v>
      </c>
      <c r="F420" s="1">
        <v>41152</v>
      </c>
      <c r="G420" t="s">
        <v>16</v>
      </c>
      <c r="J420" t="s">
        <v>1578</v>
      </c>
      <c r="K420" t="s">
        <v>55</v>
      </c>
      <c r="L420">
        <v>361.2</v>
      </c>
      <c r="M420" t="s">
        <v>1579</v>
      </c>
      <c r="N420" t="s">
        <v>20</v>
      </c>
    </row>
    <row r="421" spans="1:14">
      <c r="A421">
        <v>1042419</v>
      </c>
      <c r="B421" t="s">
        <v>1580</v>
      </c>
      <c r="C421" t="str">
        <f>"9780521762823"</f>
        <v>9780521762823</v>
      </c>
      <c r="D421" t="str">
        <f>"9781139781893"</f>
        <v>9781139781893</v>
      </c>
      <c r="E421" t="s">
        <v>33</v>
      </c>
      <c r="F421" s="1">
        <v>40421</v>
      </c>
      <c r="G421" t="s">
        <v>16</v>
      </c>
      <c r="I421" t="s">
        <v>106</v>
      </c>
      <c r="J421" t="s">
        <v>1581</v>
      </c>
      <c r="K421" t="s">
        <v>18</v>
      </c>
      <c r="L421">
        <v>821.7</v>
      </c>
      <c r="M421" t="s">
        <v>1582</v>
      </c>
      <c r="N421" t="s">
        <v>20</v>
      </c>
    </row>
    <row r="422" spans="1:14">
      <c r="A422">
        <v>1042426</v>
      </c>
      <c r="B422" t="s">
        <v>1583</v>
      </c>
      <c r="C422" t="str">
        <f>"9780521767927"</f>
        <v>9780521767927</v>
      </c>
      <c r="D422" t="str">
        <f>"9781139781961"</f>
        <v>9781139781961</v>
      </c>
      <c r="E422" t="s">
        <v>33</v>
      </c>
      <c r="F422" s="1">
        <v>40486</v>
      </c>
      <c r="G422" t="s">
        <v>16</v>
      </c>
      <c r="I422" t="s">
        <v>106</v>
      </c>
      <c r="J422" t="s">
        <v>1584</v>
      </c>
      <c r="K422" t="s">
        <v>18</v>
      </c>
      <c r="L422">
        <v>833.91200000000003</v>
      </c>
      <c r="M422" t="s">
        <v>1585</v>
      </c>
      <c r="N422" t="s">
        <v>20</v>
      </c>
    </row>
    <row r="423" spans="1:14">
      <c r="A423">
        <v>1042437</v>
      </c>
      <c r="B423" t="s">
        <v>1586</v>
      </c>
      <c r="C423" t="str">
        <f>"9780521859141"</f>
        <v>9780521859141</v>
      </c>
      <c r="D423" t="str">
        <f>"9781139782074"</f>
        <v>9781139782074</v>
      </c>
      <c r="E423" t="s">
        <v>33</v>
      </c>
      <c r="F423" s="1">
        <v>40423</v>
      </c>
      <c r="G423" t="s">
        <v>16</v>
      </c>
      <c r="I423" t="s">
        <v>106</v>
      </c>
      <c r="J423" t="s">
        <v>1587</v>
      </c>
      <c r="K423" t="s">
        <v>18</v>
      </c>
      <c r="L423">
        <v>823.8</v>
      </c>
      <c r="M423" t="s">
        <v>1588</v>
      </c>
      <c r="N423" t="s">
        <v>20</v>
      </c>
    </row>
    <row r="424" spans="1:14">
      <c r="A424">
        <v>1042449</v>
      </c>
      <c r="B424" t="s">
        <v>1589</v>
      </c>
      <c r="C424" t="str">
        <f>"9780521884624"</f>
        <v>9780521884624</v>
      </c>
      <c r="D424" t="str">
        <f>"9781139782197"</f>
        <v>9781139782197</v>
      </c>
      <c r="E424" t="s">
        <v>33</v>
      </c>
      <c r="F424" s="1">
        <v>40413</v>
      </c>
      <c r="G424" t="s">
        <v>16</v>
      </c>
      <c r="J424" t="s">
        <v>1590</v>
      </c>
      <c r="K424" t="s">
        <v>50</v>
      </c>
      <c r="L424">
        <v>951.05092000000002</v>
      </c>
      <c r="M424" t="s">
        <v>1591</v>
      </c>
      <c r="N424" t="s">
        <v>20</v>
      </c>
    </row>
    <row r="425" spans="1:14">
      <c r="A425">
        <v>1043124</v>
      </c>
      <c r="B425" t="s">
        <v>1592</v>
      </c>
      <c r="C425" t="str">
        <f>"9780199976133"</f>
        <v>9780199976133</v>
      </c>
      <c r="D425" t="str">
        <f>"9780199976140"</f>
        <v>9780199976140</v>
      </c>
      <c r="E425" t="s">
        <v>703</v>
      </c>
      <c r="F425" s="1">
        <v>41184</v>
      </c>
      <c r="G425" t="s">
        <v>16</v>
      </c>
      <c r="H425">
        <v>2</v>
      </c>
      <c r="I425" t="s">
        <v>1100</v>
      </c>
      <c r="J425" t="s">
        <v>1593</v>
      </c>
      <c r="K425" t="s">
        <v>632</v>
      </c>
      <c r="L425">
        <v>362.10425097299998</v>
      </c>
      <c r="M425" t="s">
        <v>1594</v>
      </c>
      <c r="N425" t="s">
        <v>20</v>
      </c>
    </row>
    <row r="426" spans="1:14">
      <c r="A426">
        <v>1057771</v>
      </c>
      <c r="B426" t="s">
        <v>1595</v>
      </c>
      <c r="C426" t="str">
        <f>"9780814740699"</f>
        <v>9780814740699</v>
      </c>
      <c r="D426" t="str">
        <f>"9780814738979"</f>
        <v>9780814738979</v>
      </c>
      <c r="E426" t="s">
        <v>1301</v>
      </c>
      <c r="F426" s="1">
        <v>41211</v>
      </c>
      <c r="G426" t="s">
        <v>16</v>
      </c>
      <c r="I426" t="s">
        <v>1596</v>
      </c>
      <c r="J426" t="s">
        <v>1597</v>
      </c>
      <c r="K426" t="s">
        <v>35</v>
      </c>
      <c r="L426" t="s">
        <v>1598</v>
      </c>
      <c r="M426" t="s">
        <v>1599</v>
      </c>
      <c r="N426" t="s">
        <v>20</v>
      </c>
    </row>
    <row r="427" spans="1:14">
      <c r="A427">
        <v>1062339</v>
      </c>
      <c r="B427" t="s">
        <v>1600</v>
      </c>
      <c r="C427" t="str">
        <f>"9780827608924"</f>
        <v>9780827608924</v>
      </c>
      <c r="D427" t="str">
        <f>"9780827609716"</f>
        <v>9780827609716</v>
      </c>
      <c r="E427" t="s">
        <v>1601</v>
      </c>
      <c r="F427" s="1">
        <v>39860</v>
      </c>
      <c r="G427" t="s">
        <v>16</v>
      </c>
      <c r="J427" t="s">
        <v>1602</v>
      </c>
      <c r="K427" t="s">
        <v>94</v>
      </c>
      <c r="L427">
        <v>296.02999999999997</v>
      </c>
      <c r="M427" t="s">
        <v>1603</v>
      </c>
      <c r="N427" t="s">
        <v>20</v>
      </c>
    </row>
    <row r="428" spans="1:14">
      <c r="A428">
        <v>1062347</v>
      </c>
      <c r="B428" t="s">
        <v>1604</v>
      </c>
      <c r="C428" t="str">
        <f>"9780827608320"</f>
        <v>9780827608320</v>
      </c>
      <c r="D428" t="str">
        <f>"9780827609969"</f>
        <v>9780827609969</v>
      </c>
      <c r="E428" t="s">
        <v>1605</v>
      </c>
      <c r="F428" s="1">
        <v>38991</v>
      </c>
      <c r="G428" t="s">
        <v>16</v>
      </c>
      <c r="I428" t="s">
        <v>1606</v>
      </c>
      <c r="J428" t="s">
        <v>1607</v>
      </c>
      <c r="K428" t="s">
        <v>1608</v>
      </c>
      <c r="L428">
        <v>413</v>
      </c>
      <c r="M428" t="s">
        <v>1609</v>
      </c>
      <c r="N428" t="s">
        <v>20</v>
      </c>
    </row>
    <row r="429" spans="1:14">
      <c r="A429">
        <v>1069113</v>
      </c>
      <c r="B429" t="s">
        <v>1610</v>
      </c>
      <c r="C429" t="str">
        <f>"9781615308774"</f>
        <v>9781615308774</v>
      </c>
      <c r="D429" t="str">
        <f>"9781615308835"</f>
        <v>9781615308835</v>
      </c>
      <c r="E429" t="s">
        <v>761</v>
      </c>
      <c r="F429" s="1">
        <v>41258</v>
      </c>
      <c r="G429" t="s">
        <v>16</v>
      </c>
      <c r="H429">
        <v>1</v>
      </c>
      <c r="I429" t="s">
        <v>1611</v>
      </c>
      <c r="J429" t="s">
        <v>1612</v>
      </c>
      <c r="K429" t="s">
        <v>35</v>
      </c>
      <c r="L429">
        <v>759.03</v>
      </c>
      <c r="M429" t="s">
        <v>1613</v>
      </c>
      <c r="N429" t="s">
        <v>20</v>
      </c>
    </row>
    <row r="430" spans="1:14">
      <c r="A430">
        <v>1069121</v>
      </c>
      <c r="B430" t="s">
        <v>1614</v>
      </c>
      <c r="C430" t="str">
        <f>"9781615309061"</f>
        <v>9781615309061</v>
      </c>
      <c r="D430" t="str">
        <f>"9781615309115"</f>
        <v>9781615309115</v>
      </c>
      <c r="E430" t="s">
        <v>761</v>
      </c>
      <c r="F430" s="1">
        <v>41258</v>
      </c>
      <c r="G430" t="s">
        <v>16</v>
      </c>
      <c r="H430">
        <v>1</v>
      </c>
      <c r="I430" t="s">
        <v>1615</v>
      </c>
      <c r="J430" t="s">
        <v>763</v>
      </c>
      <c r="K430" t="s">
        <v>35</v>
      </c>
      <c r="L430" t="s">
        <v>1616</v>
      </c>
      <c r="M430" t="s">
        <v>1617</v>
      </c>
      <c r="N430" t="s">
        <v>20</v>
      </c>
    </row>
    <row r="431" spans="1:14">
      <c r="A431">
        <v>1069125</v>
      </c>
      <c r="B431" t="s">
        <v>1618</v>
      </c>
      <c r="C431" t="str">
        <f>"9781615309207"</f>
        <v>9781615309207</v>
      </c>
      <c r="D431" t="str">
        <f>"9781615309221"</f>
        <v>9781615309221</v>
      </c>
      <c r="E431" t="s">
        <v>761</v>
      </c>
      <c r="F431" s="1">
        <v>41258</v>
      </c>
      <c r="G431" t="s">
        <v>16</v>
      </c>
      <c r="H431">
        <v>1</v>
      </c>
      <c r="I431" t="s">
        <v>1619</v>
      </c>
      <c r="J431" t="s">
        <v>1148</v>
      </c>
      <c r="K431" t="s">
        <v>1620</v>
      </c>
      <c r="L431">
        <v>613.20000000000005</v>
      </c>
      <c r="M431" t="s">
        <v>1621</v>
      </c>
      <c r="N431" t="s">
        <v>20</v>
      </c>
    </row>
    <row r="432" spans="1:14">
      <c r="A432">
        <v>1073478</v>
      </c>
      <c r="B432" t="s">
        <v>1622</v>
      </c>
      <c r="C432" t="str">
        <f>"9780199890262"</f>
        <v>9780199890262</v>
      </c>
      <c r="D432" t="str">
        <f>"9780199995943"</f>
        <v>9780199995943</v>
      </c>
      <c r="E432" t="s">
        <v>750</v>
      </c>
      <c r="F432" s="1">
        <v>41235</v>
      </c>
      <c r="G432" t="s">
        <v>16</v>
      </c>
      <c r="I432" t="s">
        <v>1100</v>
      </c>
      <c r="J432" t="s">
        <v>1623</v>
      </c>
      <c r="K432" t="s">
        <v>502</v>
      </c>
      <c r="L432">
        <v>336.20097299999998</v>
      </c>
      <c r="M432" t="s">
        <v>1624</v>
      </c>
      <c r="N432" t="s">
        <v>20</v>
      </c>
    </row>
    <row r="433" spans="1:14">
      <c r="A433">
        <v>1073487</v>
      </c>
      <c r="B433" t="s">
        <v>1625</v>
      </c>
      <c r="C433" t="str">
        <f>"9780199235032"</f>
        <v>9780199235032</v>
      </c>
      <c r="D433" t="str">
        <f>"9780191029318"</f>
        <v>9780191029318</v>
      </c>
      <c r="E433" t="s">
        <v>703</v>
      </c>
      <c r="F433" s="1">
        <v>40521</v>
      </c>
      <c r="G433" t="s">
        <v>16</v>
      </c>
      <c r="J433" t="s">
        <v>1626</v>
      </c>
      <c r="K433" t="s">
        <v>985</v>
      </c>
      <c r="L433">
        <v>305.89240089999998</v>
      </c>
      <c r="M433" t="s">
        <v>1627</v>
      </c>
      <c r="N433" t="s">
        <v>20</v>
      </c>
    </row>
    <row r="434" spans="1:14">
      <c r="A434">
        <v>1073489</v>
      </c>
      <c r="B434" t="s">
        <v>1628</v>
      </c>
      <c r="C434" t="str">
        <f>"9780199565597"</f>
        <v>9780199565597</v>
      </c>
      <c r="D434" t="str">
        <f>"9780191029486"</f>
        <v>9780191029486</v>
      </c>
      <c r="E434" t="s">
        <v>1283</v>
      </c>
      <c r="F434" s="1">
        <v>40624</v>
      </c>
      <c r="G434" t="s">
        <v>16</v>
      </c>
      <c r="J434" t="s">
        <v>1629</v>
      </c>
      <c r="K434" t="s">
        <v>1073</v>
      </c>
      <c r="L434">
        <v>551.52459999999996</v>
      </c>
      <c r="M434" t="s">
        <v>1630</v>
      </c>
      <c r="N434" t="s">
        <v>20</v>
      </c>
    </row>
    <row r="435" spans="1:14">
      <c r="A435">
        <v>1075605</v>
      </c>
      <c r="B435" t="s">
        <v>1631</v>
      </c>
      <c r="C435" t="str">
        <f>"9783110238129"</f>
        <v>9783110238129</v>
      </c>
      <c r="D435" t="str">
        <f>"9783110238136"</f>
        <v>9783110238136</v>
      </c>
      <c r="E435" t="s">
        <v>1632</v>
      </c>
      <c r="F435" s="1">
        <v>41627</v>
      </c>
      <c r="G435" t="s">
        <v>16</v>
      </c>
      <c r="I435" t="s">
        <v>1633</v>
      </c>
      <c r="J435" t="s">
        <v>1634</v>
      </c>
      <c r="K435" t="s">
        <v>1635</v>
      </c>
      <c r="L435">
        <v>6.35</v>
      </c>
      <c r="M435" t="s">
        <v>1636</v>
      </c>
      <c r="N435" t="s">
        <v>20</v>
      </c>
    </row>
    <row r="436" spans="1:14">
      <c r="A436">
        <v>1075997</v>
      </c>
      <c r="B436" t="s">
        <v>1637</v>
      </c>
      <c r="C436" t="str">
        <f>"9780786471218"</f>
        <v>9780786471218</v>
      </c>
      <c r="D436" t="str">
        <f>"9781476601380"</f>
        <v>9781476601380</v>
      </c>
      <c r="E436" t="s">
        <v>641</v>
      </c>
      <c r="F436" s="1">
        <v>41229</v>
      </c>
      <c r="G436" t="s">
        <v>16</v>
      </c>
      <c r="J436" t="s">
        <v>1638</v>
      </c>
      <c r="K436" t="s">
        <v>94</v>
      </c>
      <c r="L436">
        <v>220.52002999999999</v>
      </c>
      <c r="M436" t="s">
        <v>1639</v>
      </c>
      <c r="N436" t="s">
        <v>20</v>
      </c>
    </row>
    <row r="437" spans="1:14">
      <c r="A437">
        <v>1081564</v>
      </c>
      <c r="B437" t="s">
        <v>1640</v>
      </c>
      <c r="C437" t="str">
        <f>"9789004234710"</f>
        <v>9789004234710</v>
      </c>
      <c r="D437" t="str">
        <f>"9789004234727"</f>
        <v>9789004234727</v>
      </c>
      <c r="E437" t="s">
        <v>468</v>
      </c>
      <c r="F437" s="1">
        <v>41205</v>
      </c>
      <c r="G437" t="s">
        <v>16</v>
      </c>
      <c r="H437">
        <v>1</v>
      </c>
      <c r="J437" t="s">
        <v>485</v>
      </c>
      <c r="K437" t="s">
        <v>269</v>
      </c>
      <c r="L437" t="s">
        <v>1641</v>
      </c>
      <c r="M437" t="s">
        <v>1642</v>
      </c>
      <c r="N437" t="s">
        <v>20</v>
      </c>
    </row>
    <row r="438" spans="1:14">
      <c r="A438">
        <v>1081581</v>
      </c>
      <c r="B438" t="s">
        <v>1643</v>
      </c>
      <c r="C438" t="str">
        <f>"9789004235939"</f>
        <v>9789004235939</v>
      </c>
      <c r="D438" t="str">
        <f>"9789004236462"</f>
        <v>9789004236462</v>
      </c>
      <c r="E438" t="s">
        <v>468</v>
      </c>
      <c r="F438" s="1">
        <v>41222</v>
      </c>
      <c r="G438" t="s">
        <v>16</v>
      </c>
      <c r="H438">
        <v>1</v>
      </c>
      <c r="I438" t="s">
        <v>1533</v>
      </c>
      <c r="J438" t="s">
        <v>902</v>
      </c>
      <c r="K438" t="s">
        <v>50</v>
      </c>
      <c r="L438">
        <v>937.06</v>
      </c>
      <c r="M438" t="s">
        <v>1644</v>
      </c>
      <c r="N438" t="s">
        <v>20</v>
      </c>
    </row>
    <row r="439" spans="1:14">
      <c r="A439">
        <v>1102312</v>
      </c>
      <c r="B439" t="s">
        <v>1645</v>
      </c>
      <c r="C439" t="str">
        <f>"9789004223622"</f>
        <v>9789004223622</v>
      </c>
      <c r="D439" t="str">
        <f>"9789004241961"</f>
        <v>9789004241961</v>
      </c>
      <c r="E439" t="s">
        <v>468</v>
      </c>
      <c r="F439" s="1">
        <v>41250</v>
      </c>
      <c r="G439" t="s">
        <v>16</v>
      </c>
      <c r="H439">
        <v>1</v>
      </c>
      <c r="I439" t="s">
        <v>1646</v>
      </c>
      <c r="J439" t="s">
        <v>1647</v>
      </c>
      <c r="K439" t="s">
        <v>18</v>
      </c>
      <c r="L439">
        <v>874.01</v>
      </c>
      <c r="M439" t="s">
        <v>1648</v>
      </c>
      <c r="N439" t="s">
        <v>20</v>
      </c>
    </row>
    <row r="440" spans="1:14">
      <c r="A440">
        <v>1104468</v>
      </c>
      <c r="B440" t="s">
        <v>1649</v>
      </c>
      <c r="C440" t="str">
        <f>"9781610488679"</f>
        <v>9781610488679</v>
      </c>
      <c r="D440" t="str">
        <f>"9781610488686"</f>
        <v>9781610488686</v>
      </c>
      <c r="E440" t="s">
        <v>1360</v>
      </c>
      <c r="F440" s="1">
        <v>41198</v>
      </c>
      <c r="G440" t="s">
        <v>16</v>
      </c>
      <c r="J440" t="s">
        <v>1650</v>
      </c>
      <c r="K440" t="s">
        <v>408</v>
      </c>
      <c r="L440">
        <v>378.24200000000002</v>
      </c>
      <c r="M440" t="s">
        <v>1651</v>
      </c>
      <c r="N440" t="s">
        <v>20</v>
      </c>
    </row>
    <row r="441" spans="1:14">
      <c r="A441">
        <v>1107716</v>
      </c>
      <c r="B441" t="s">
        <v>1652</v>
      </c>
      <c r="C441" t="str">
        <f>"9780195390841"</f>
        <v>9780195390841</v>
      </c>
      <c r="D441" t="str">
        <f>"9780199874996"</f>
        <v>9780199874996</v>
      </c>
      <c r="E441" t="s">
        <v>703</v>
      </c>
      <c r="F441" s="1">
        <v>40848</v>
      </c>
      <c r="G441" t="s">
        <v>16</v>
      </c>
      <c r="I441" t="s">
        <v>1058</v>
      </c>
      <c r="J441" t="s">
        <v>1653</v>
      </c>
      <c r="K441" t="s">
        <v>155</v>
      </c>
      <c r="L441">
        <v>617.70000000000005</v>
      </c>
      <c r="M441" t="s">
        <v>1654</v>
      </c>
      <c r="N441" t="s">
        <v>20</v>
      </c>
    </row>
    <row r="442" spans="1:14">
      <c r="A442">
        <v>1109718</v>
      </c>
      <c r="B442" t="s">
        <v>1655</v>
      </c>
      <c r="C442" t="str">
        <f>"9781848169838"</f>
        <v>9781848169838</v>
      </c>
      <c r="D442" t="str">
        <f>"9781848169845"</f>
        <v>9781848169845</v>
      </c>
      <c r="E442" t="s">
        <v>1085</v>
      </c>
      <c r="F442" s="1">
        <v>41275</v>
      </c>
      <c r="G442" t="s">
        <v>16</v>
      </c>
      <c r="I442" t="s">
        <v>1656</v>
      </c>
      <c r="J442" t="s">
        <v>1657</v>
      </c>
      <c r="K442" t="s">
        <v>1658</v>
      </c>
      <c r="L442">
        <v>577.54999999999995</v>
      </c>
      <c r="M442" t="s">
        <v>1659</v>
      </c>
      <c r="N442" t="s">
        <v>20</v>
      </c>
    </row>
    <row r="443" spans="1:14">
      <c r="A443">
        <v>1111289</v>
      </c>
      <c r="B443" t="s">
        <v>1660</v>
      </c>
      <c r="C443" t="str">
        <f>"9780826106230"</f>
        <v>9780826106230</v>
      </c>
      <c r="D443" t="str">
        <f>"9780826106247"</f>
        <v>9780826106247</v>
      </c>
      <c r="E443" t="s">
        <v>379</v>
      </c>
      <c r="F443" s="1">
        <v>41257</v>
      </c>
      <c r="G443" t="s">
        <v>16</v>
      </c>
      <c r="J443" t="s">
        <v>1661</v>
      </c>
      <c r="K443" t="s">
        <v>1662</v>
      </c>
      <c r="L443" t="s">
        <v>1663</v>
      </c>
      <c r="M443" t="s">
        <v>1664</v>
      </c>
      <c r="N443" t="s">
        <v>20</v>
      </c>
    </row>
    <row r="444" spans="1:14">
      <c r="A444">
        <v>1114595</v>
      </c>
      <c r="B444" t="s">
        <v>1665</v>
      </c>
      <c r="C444" t="str">
        <f>"9780814758908"</f>
        <v>9780814758908</v>
      </c>
      <c r="D444" t="str">
        <f>"9780814759226"</f>
        <v>9780814759226</v>
      </c>
      <c r="E444" t="s">
        <v>1301</v>
      </c>
      <c r="F444" s="1">
        <v>41281</v>
      </c>
      <c r="G444" t="s">
        <v>16</v>
      </c>
      <c r="J444" t="s">
        <v>1666</v>
      </c>
      <c r="K444" t="s">
        <v>1667</v>
      </c>
      <c r="L444">
        <v>907.202</v>
      </c>
      <c r="M444" t="s">
        <v>1668</v>
      </c>
      <c r="N444" t="s">
        <v>20</v>
      </c>
    </row>
    <row r="445" spans="1:14">
      <c r="A445">
        <v>1118490</v>
      </c>
      <c r="B445" t="s">
        <v>1669</v>
      </c>
      <c r="C445" t="str">
        <f>"9781118325018"</f>
        <v>9781118325018</v>
      </c>
      <c r="D445" t="str">
        <f>"9781118325056"</f>
        <v>9781118325056</v>
      </c>
      <c r="E445" t="s">
        <v>26</v>
      </c>
      <c r="F445" s="1">
        <v>41288</v>
      </c>
      <c r="G445" t="s">
        <v>16</v>
      </c>
      <c r="H445">
        <v>1</v>
      </c>
      <c r="I445" t="s">
        <v>349</v>
      </c>
      <c r="J445" t="s">
        <v>1670</v>
      </c>
      <c r="K445" t="s">
        <v>50</v>
      </c>
      <c r="L445">
        <v>940.53</v>
      </c>
      <c r="M445" t="s">
        <v>1671</v>
      </c>
      <c r="N445" t="s">
        <v>20</v>
      </c>
    </row>
    <row r="446" spans="1:14">
      <c r="A446">
        <v>1118755</v>
      </c>
      <c r="B446" t="s">
        <v>1672</v>
      </c>
      <c r="C446" t="str">
        <f>"9781118325988"</f>
        <v>9781118325988</v>
      </c>
      <c r="D446" t="str">
        <f>"9781118326015"</f>
        <v>9781118326015</v>
      </c>
      <c r="E446" t="s">
        <v>26</v>
      </c>
      <c r="F446" s="1">
        <v>41303</v>
      </c>
      <c r="G446" t="s">
        <v>16</v>
      </c>
      <c r="H446">
        <v>5</v>
      </c>
      <c r="J446" t="s">
        <v>1673</v>
      </c>
      <c r="K446" t="s">
        <v>18</v>
      </c>
      <c r="L446">
        <v>803</v>
      </c>
      <c r="M446" t="s">
        <v>1674</v>
      </c>
      <c r="N446" t="s">
        <v>20</v>
      </c>
    </row>
    <row r="447" spans="1:14">
      <c r="A447">
        <v>1120268</v>
      </c>
      <c r="B447" t="s">
        <v>1675</v>
      </c>
      <c r="C447" t="str">
        <f>"9781444335347"</f>
        <v>9781444335347</v>
      </c>
      <c r="D447" t="str">
        <f>"9781118279533"</f>
        <v>9781118279533</v>
      </c>
      <c r="E447" t="s">
        <v>26</v>
      </c>
      <c r="F447" s="1">
        <v>41218</v>
      </c>
      <c r="G447" t="s">
        <v>16</v>
      </c>
      <c r="H447">
        <v>1</v>
      </c>
      <c r="I447" t="s">
        <v>349</v>
      </c>
      <c r="J447" t="s">
        <v>1676</v>
      </c>
      <c r="K447" t="s">
        <v>1677</v>
      </c>
      <c r="L447">
        <v>304.209</v>
      </c>
      <c r="M447" t="s">
        <v>1678</v>
      </c>
      <c r="N447" t="s">
        <v>20</v>
      </c>
    </row>
    <row r="448" spans="1:14">
      <c r="A448">
        <v>1120572</v>
      </c>
      <c r="B448" t="s">
        <v>1679</v>
      </c>
      <c r="C448" t="str">
        <f>"9781118447567"</f>
        <v>9781118447567</v>
      </c>
      <c r="D448" t="str">
        <f>"9781118447543"</f>
        <v>9781118447543</v>
      </c>
      <c r="E448" t="s">
        <v>26</v>
      </c>
      <c r="F448" s="1">
        <v>41241</v>
      </c>
      <c r="G448" t="s">
        <v>16</v>
      </c>
      <c r="H448">
        <v>3</v>
      </c>
      <c r="J448" t="s">
        <v>1680</v>
      </c>
      <c r="K448" t="s">
        <v>219</v>
      </c>
      <c r="L448" t="s">
        <v>1681</v>
      </c>
      <c r="M448" t="s">
        <v>1682</v>
      </c>
      <c r="N448" t="s">
        <v>20</v>
      </c>
    </row>
    <row r="449" spans="1:14">
      <c r="A449">
        <v>1120580</v>
      </c>
      <c r="B449" t="s">
        <v>1683</v>
      </c>
      <c r="C449" t="str">
        <f>"9781444337242"</f>
        <v>9781444337242</v>
      </c>
      <c r="D449" t="str">
        <f>"9781118322642"</f>
        <v>9781118322642</v>
      </c>
      <c r="E449" t="s">
        <v>26</v>
      </c>
      <c r="F449" s="1">
        <v>41309</v>
      </c>
      <c r="G449" t="s">
        <v>16</v>
      </c>
      <c r="H449">
        <v>1</v>
      </c>
      <c r="J449" t="s">
        <v>1684</v>
      </c>
      <c r="K449" t="s">
        <v>35</v>
      </c>
      <c r="L449" t="s">
        <v>1685</v>
      </c>
      <c r="M449" t="s">
        <v>1686</v>
      </c>
      <c r="N449" t="s">
        <v>20</v>
      </c>
    </row>
    <row r="450" spans="1:14">
      <c r="A450">
        <v>1120617</v>
      </c>
      <c r="B450" t="s">
        <v>1687</v>
      </c>
      <c r="C450" t="str">
        <f>"9780470655320"</f>
        <v>9780470655320</v>
      </c>
      <c r="D450" t="str">
        <f>"9781118339824"</f>
        <v>9781118339824</v>
      </c>
      <c r="E450" t="s">
        <v>26</v>
      </c>
      <c r="F450" s="1">
        <v>41241</v>
      </c>
      <c r="G450" t="s">
        <v>16</v>
      </c>
      <c r="H450">
        <v>1</v>
      </c>
      <c r="I450" t="s">
        <v>384</v>
      </c>
      <c r="J450" t="s">
        <v>1688</v>
      </c>
      <c r="K450" t="s">
        <v>1050</v>
      </c>
      <c r="L450">
        <v>420.7</v>
      </c>
      <c r="M450" t="s">
        <v>1689</v>
      </c>
      <c r="N450" t="s">
        <v>20</v>
      </c>
    </row>
    <row r="451" spans="1:14">
      <c r="A451">
        <v>1120685</v>
      </c>
      <c r="B451" t="s">
        <v>1690</v>
      </c>
      <c r="C451" t="str">
        <f>"9781118344576"</f>
        <v>9781118344576</v>
      </c>
      <c r="D451" t="str">
        <f>"9781118589090"</f>
        <v>9781118589090</v>
      </c>
      <c r="E451" t="s">
        <v>26</v>
      </c>
      <c r="F451" s="1">
        <v>41269</v>
      </c>
      <c r="G451" t="s">
        <v>16</v>
      </c>
      <c r="H451">
        <v>1</v>
      </c>
      <c r="J451" t="s">
        <v>1691</v>
      </c>
      <c r="K451" t="s">
        <v>1692</v>
      </c>
      <c r="L451">
        <v>670.03</v>
      </c>
      <c r="M451" t="s">
        <v>1693</v>
      </c>
      <c r="N451" t="s">
        <v>20</v>
      </c>
    </row>
    <row r="452" spans="1:14">
      <c r="A452">
        <v>1126726</v>
      </c>
      <c r="B452" t="s">
        <v>1694</v>
      </c>
      <c r="C452" t="str">
        <f>"9780814795569"</f>
        <v>9780814795569</v>
      </c>
      <c r="D452" t="str">
        <f>"9780814724729"</f>
        <v>9780814724729</v>
      </c>
      <c r="E452" t="s">
        <v>1301</v>
      </c>
      <c r="F452" s="1">
        <v>41337</v>
      </c>
      <c r="G452" t="s">
        <v>16</v>
      </c>
      <c r="J452" t="s">
        <v>1695</v>
      </c>
      <c r="K452" t="s">
        <v>94</v>
      </c>
      <c r="L452" t="s">
        <v>1696</v>
      </c>
      <c r="M452" t="s">
        <v>1697</v>
      </c>
      <c r="N452" t="s">
        <v>20</v>
      </c>
    </row>
    <row r="453" spans="1:14">
      <c r="A453">
        <v>1129590</v>
      </c>
      <c r="B453" t="s">
        <v>1698</v>
      </c>
      <c r="C453" t="str">
        <f>"9781118326404"</f>
        <v>9781118326404</v>
      </c>
      <c r="D453" t="str">
        <f>"9781118326442"</f>
        <v>9781118326442</v>
      </c>
      <c r="E453" t="s">
        <v>26</v>
      </c>
      <c r="F453" s="1">
        <v>41435</v>
      </c>
      <c r="G453" t="s">
        <v>16</v>
      </c>
      <c r="H453">
        <v>1</v>
      </c>
      <c r="I453" t="s">
        <v>1699</v>
      </c>
      <c r="J453" t="s">
        <v>1700</v>
      </c>
      <c r="K453" t="s">
        <v>511</v>
      </c>
      <c r="L453">
        <v>658.40920189999997</v>
      </c>
      <c r="M453" t="s">
        <v>1701</v>
      </c>
      <c r="N453" t="s">
        <v>20</v>
      </c>
    </row>
    <row r="454" spans="1:14">
      <c r="A454">
        <v>1132319</v>
      </c>
      <c r="B454" t="s">
        <v>1702</v>
      </c>
      <c r="C454" t="str">
        <f>"9780199768769"</f>
        <v>9780199768769</v>
      </c>
      <c r="D454" t="str">
        <f>"9780199877607"</f>
        <v>9780199877607</v>
      </c>
      <c r="E454" t="s">
        <v>703</v>
      </c>
      <c r="F454" s="1">
        <v>40697</v>
      </c>
      <c r="G454" t="s">
        <v>16</v>
      </c>
      <c r="J454" t="s">
        <v>1703</v>
      </c>
      <c r="K454" t="s">
        <v>155</v>
      </c>
      <c r="L454">
        <v>616.89</v>
      </c>
      <c r="M454" t="s">
        <v>1704</v>
      </c>
      <c r="N454" t="s">
        <v>20</v>
      </c>
    </row>
    <row r="455" spans="1:14">
      <c r="A455">
        <v>1133316</v>
      </c>
      <c r="B455" t="s">
        <v>1705</v>
      </c>
      <c r="C455" t="str">
        <f>"9780786474455"</f>
        <v>9780786474455</v>
      </c>
      <c r="D455" t="str">
        <f>"9781476602493"</f>
        <v>9781476602493</v>
      </c>
      <c r="E455" t="s">
        <v>641</v>
      </c>
      <c r="F455" s="1">
        <v>41317</v>
      </c>
      <c r="G455" t="s">
        <v>16</v>
      </c>
      <c r="J455" t="s">
        <v>1155</v>
      </c>
      <c r="K455" t="s">
        <v>1706</v>
      </c>
      <c r="L455">
        <v>384.5532</v>
      </c>
      <c r="M455" t="s">
        <v>1707</v>
      </c>
      <c r="N455" t="s">
        <v>20</v>
      </c>
    </row>
    <row r="456" spans="1:14">
      <c r="A456">
        <v>1137502</v>
      </c>
      <c r="B456" t="s">
        <v>1708</v>
      </c>
      <c r="C456" t="str">
        <f>"9780786474929"</f>
        <v>9780786474929</v>
      </c>
      <c r="D456" t="str">
        <f>"9781476603407"</f>
        <v>9781476603407</v>
      </c>
      <c r="E456" t="s">
        <v>641</v>
      </c>
      <c r="F456" s="1">
        <v>41275</v>
      </c>
      <c r="G456" t="s">
        <v>16</v>
      </c>
      <c r="J456" t="s">
        <v>1709</v>
      </c>
      <c r="K456" t="s">
        <v>1710</v>
      </c>
      <c r="L456">
        <v>81.03</v>
      </c>
      <c r="M456" t="s">
        <v>1711</v>
      </c>
      <c r="N456" t="s">
        <v>20</v>
      </c>
    </row>
    <row r="457" spans="1:14">
      <c r="A457">
        <v>1137503</v>
      </c>
      <c r="B457" t="s">
        <v>1712</v>
      </c>
      <c r="C457" t="str">
        <f>"9780786465415"</f>
        <v>9780786465415</v>
      </c>
      <c r="D457" t="str">
        <f>"9781476600536"</f>
        <v>9781476600536</v>
      </c>
      <c r="E457" t="s">
        <v>641</v>
      </c>
      <c r="F457" s="1">
        <v>41327</v>
      </c>
      <c r="G457" t="s">
        <v>16</v>
      </c>
      <c r="J457" t="s">
        <v>1713</v>
      </c>
      <c r="K457" t="s">
        <v>18</v>
      </c>
      <c r="L457">
        <v>810.93602999999996</v>
      </c>
      <c r="M457" t="s">
        <v>1714</v>
      </c>
      <c r="N457" t="s">
        <v>20</v>
      </c>
    </row>
    <row r="458" spans="1:14">
      <c r="A458">
        <v>1137707</v>
      </c>
      <c r="B458" t="s">
        <v>1715</v>
      </c>
      <c r="C458" t="str">
        <f>"9780821389270"</f>
        <v>9780821389270</v>
      </c>
      <c r="D458" t="str">
        <f>"9780821389287"</f>
        <v>9780821389287</v>
      </c>
      <c r="E458" t="s">
        <v>1716</v>
      </c>
      <c r="F458" s="1">
        <v>40909</v>
      </c>
      <c r="G458" t="s">
        <v>16</v>
      </c>
      <c r="J458" t="s">
        <v>1717</v>
      </c>
      <c r="K458" t="s">
        <v>502</v>
      </c>
      <c r="L458">
        <v>332</v>
      </c>
      <c r="M458" t="s">
        <v>1718</v>
      </c>
      <c r="N458" t="s">
        <v>20</v>
      </c>
    </row>
    <row r="459" spans="1:14">
      <c r="A459">
        <v>1140107</v>
      </c>
      <c r="B459" t="s">
        <v>1719</v>
      </c>
      <c r="C459" t="str">
        <f>"9780786472703"</f>
        <v>9780786472703</v>
      </c>
      <c r="D459" t="str">
        <f>"9781476601540"</f>
        <v>9781476601540</v>
      </c>
      <c r="E459" t="s">
        <v>641</v>
      </c>
      <c r="F459" s="1">
        <v>41331</v>
      </c>
      <c r="G459" t="s">
        <v>16</v>
      </c>
      <c r="J459" t="s">
        <v>1720</v>
      </c>
      <c r="K459" t="s">
        <v>35</v>
      </c>
      <c r="L459">
        <v>791.53089999999997</v>
      </c>
      <c r="M459" t="s">
        <v>1721</v>
      </c>
      <c r="N459" t="s">
        <v>20</v>
      </c>
    </row>
    <row r="460" spans="1:14">
      <c r="A460">
        <v>1152956</v>
      </c>
      <c r="B460" t="s">
        <v>1722</v>
      </c>
      <c r="C460" t="str">
        <f>"9780814772492"</f>
        <v>9780814772492</v>
      </c>
      <c r="D460" t="str">
        <f>"9780814790489"</f>
        <v>9780814790489</v>
      </c>
      <c r="E460" t="s">
        <v>1301</v>
      </c>
      <c r="F460" s="1">
        <v>41386</v>
      </c>
      <c r="G460" t="s">
        <v>16</v>
      </c>
      <c r="J460" t="s">
        <v>1723</v>
      </c>
      <c r="K460" t="s">
        <v>985</v>
      </c>
      <c r="L460">
        <v>305.800973</v>
      </c>
      <c r="M460" t="s">
        <v>1724</v>
      </c>
      <c r="N460" t="s">
        <v>20</v>
      </c>
    </row>
    <row r="461" spans="1:14">
      <c r="A461">
        <v>1153294</v>
      </c>
      <c r="B461" t="s">
        <v>1725</v>
      </c>
      <c r="C461" t="str">
        <f>"9780199811410"</f>
        <v>9780199811410</v>
      </c>
      <c r="D461" t="str">
        <f>"9780199811458"</f>
        <v>9780199811458</v>
      </c>
      <c r="E461" t="s">
        <v>750</v>
      </c>
      <c r="F461" s="1">
        <v>41361</v>
      </c>
      <c r="G461" t="s">
        <v>16</v>
      </c>
      <c r="I461" t="s">
        <v>1100</v>
      </c>
      <c r="J461" t="s">
        <v>1726</v>
      </c>
      <c r="K461" t="s">
        <v>55</v>
      </c>
      <c r="L461" t="s">
        <v>1727</v>
      </c>
      <c r="M461" t="s">
        <v>1728</v>
      </c>
      <c r="N461" t="s">
        <v>20</v>
      </c>
    </row>
    <row r="462" spans="1:14">
      <c r="A462">
        <v>1154817</v>
      </c>
      <c r="B462" t="s">
        <v>1729</v>
      </c>
      <c r="C462" t="str">
        <f>"9781441160782"</f>
        <v>9781441160782</v>
      </c>
      <c r="D462" t="str">
        <f>"9781441148742"</f>
        <v>9781441148742</v>
      </c>
      <c r="E462" t="s">
        <v>1415</v>
      </c>
      <c r="F462" s="1">
        <v>41039</v>
      </c>
      <c r="G462" t="s">
        <v>16</v>
      </c>
      <c r="H462">
        <v>1</v>
      </c>
      <c r="I462" t="s">
        <v>1730</v>
      </c>
      <c r="J462" t="s">
        <v>1731</v>
      </c>
      <c r="K462" t="s">
        <v>35</v>
      </c>
      <c r="L462">
        <v>781.64</v>
      </c>
      <c r="M462" t="s">
        <v>1732</v>
      </c>
      <c r="N462" t="s">
        <v>20</v>
      </c>
    </row>
    <row r="463" spans="1:14">
      <c r="A463">
        <v>1158508</v>
      </c>
      <c r="B463" t="s">
        <v>1733</v>
      </c>
      <c r="C463" t="str">
        <f>"9789004177185"</f>
        <v>9789004177185</v>
      </c>
      <c r="D463" t="str">
        <f>"9789047430629"</f>
        <v>9789047430629</v>
      </c>
      <c r="E463" t="s">
        <v>468</v>
      </c>
      <c r="F463" s="1">
        <v>40295</v>
      </c>
      <c r="G463" t="s">
        <v>16</v>
      </c>
      <c r="H463">
        <v>2</v>
      </c>
      <c r="J463" t="s">
        <v>1734</v>
      </c>
      <c r="K463" t="s">
        <v>299</v>
      </c>
      <c r="L463">
        <v>585</v>
      </c>
      <c r="M463" t="s">
        <v>1735</v>
      </c>
      <c r="N463" t="s">
        <v>20</v>
      </c>
    </row>
    <row r="464" spans="1:14">
      <c r="A464">
        <v>1164145</v>
      </c>
      <c r="B464" t="s">
        <v>1736</v>
      </c>
      <c r="C464" t="str">
        <f>"9780199588442"</f>
        <v>9780199588442</v>
      </c>
      <c r="D464" t="str">
        <f>"9780191652288"</f>
        <v>9780191652288</v>
      </c>
      <c r="E464" t="s">
        <v>750</v>
      </c>
      <c r="F464" s="1">
        <v>40861</v>
      </c>
      <c r="G464" t="s">
        <v>16</v>
      </c>
      <c r="H464">
        <v>2</v>
      </c>
      <c r="I464" t="s">
        <v>1737</v>
      </c>
      <c r="J464" t="s">
        <v>1738</v>
      </c>
      <c r="K464" t="s">
        <v>155</v>
      </c>
      <c r="L464">
        <v>610</v>
      </c>
      <c r="M464" t="s">
        <v>1739</v>
      </c>
      <c r="N464" t="s">
        <v>20</v>
      </c>
    </row>
    <row r="465" spans="1:14">
      <c r="A465">
        <v>1164978</v>
      </c>
      <c r="B465" t="s">
        <v>1740</v>
      </c>
      <c r="C465" t="str">
        <f>"9780786462698"</f>
        <v>9780786462698</v>
      </c>
      <c r="D465" t="str">
        <f>"9781476601557"</f>
        <v>9781476601557</v>
      </c>
      <c r="E465" t="s">
        <v>641</v>
      </c>
      <c r="F465" s="1">
        <v>41362</v>
      </c>
      <c r="G465" t="s">
        <v>16</v>
      </c>
      <c r="J465" t="s">
        <v>1741</v>
      </c>
      <c r="K465" t="s">
        <v>1742</v>
      </c>
      <c r="L465">
        <v>623.74650972999996</v>
      </c>
      <c r="M465" t="s">
        <v>1743</v>
      </c>
      <c r="N465" t="s">
        <v>20</v>
      </c>
    </row>
    <row r="466" spans="1:14">
      <c r="A466">
        <v>1168161</v>
      </c>
      <c r="B466" t="s">
        <v>1744</v>
      </c>
      <c r="C466" t="str">
        <f>"9789814343510"</f>
        <v>9789814343510</v>
      </c>
      <c r="D466" t="str">
        <f>"9789814343527"</f>
        <v>9789814343527</v>
      </c>
      <c r="E466" t="s">
        <v>1745</v>
      </c>
      <c r="F466" s="1">
        <v>41302</v>
      </c>
      <c r="G466" t="s">
        <v>16</v>
      </c>
      <c r="I466" t="s">
        <v>1746</v>
      </c>
      <c r="J466" t="s">
        <v>1747</v>
      </c>
      <c r="K466" t="s">
        <v>1748</v>
      </c>
      <c r="L466">
        <v>621.04</v>
      </c>
      <c r="M466" t="s">
        <v>1749</v>
      </c>
      <c r="N466" t="s">
        <v>20</v>
      </c>
    </row>
    <row r="467" spans="1:14">
      <c r="A467">
        <v>1170363</v>
      </c>
      <c r="B467" t="s">
        <v>1750</v>
      </c>
      <c r="C467" t="str">
        <f>"9781118274903"</f>
        <v>9781118274903</v>
      </c>
      <c r="D467" t="str">
        <f>"9781118329344"</f>
        <v>9781118329344</v>
      </c>
      <c r="E467" t="s">
        <v>26</v>
      </c>
      <c r="F467" s="1">
        <v>40987</v>
      </c>
      <c r="G467" t="s">
        <v>16</v>
      </c>
      <c r="H467">
        <v>1</v>
      </c>
      <c r="J467" t="s">
        <v>1751</v>
      </c>
      <c r="K467" t="s">
        <v>55</v>
      </c>
      <c r="L467">
        <v>301.02999999999997</v>
      </c>
      <c r="M467" t="s">
        <v>1752</v>
      </c>
      <c r="N467" t="s">
        <v>20</v>
      </c>
    </row>
    <row r="468" spans="1:14">
      <c r="A468">
        <v>1182802</v>
      </c>
      <c r="B468" t="s">
        <v>1753</v>
      </c>
      <c r="C468" t="str">
        <f>"9781583673416"</f>
        <v>9781583673416</v>
      </c>
      <c r="D468" t="str">
        <f>"9781583673430"</f>
        <v>9781583673430</v>
      </c>
      <c r="E468" t="s">
        <v>1754</v>
      </c>
      <c r="F468" s="1">
        <v>41334</v>
      </c>
      <c r="G468" t="s">
        <v>16</v>
      </c>
      <c r="J468" t="s">
        <v>1755</v>
      </c>
      <c r="K468" t="s">
        <v>1756</v>
      </c>
      <c r="L468">
        <v>327.11700000000002</v>
      </c>
      <c r="M468" t="s">
        <v>1757</v>
      </c>
      <c r="N468" t="s">
        <v>20</v>
      </c>
    </row>
    <row r="469" spans="1:14">
      <c r="A469">
        <v>1185534</v>
      </c>
      <c r="B469" t="s">
        <v>1758</v>
      </c>
      <c r="C469" t="str">
        <f>"9781849733816"</f>
        <v>9781849733816</v>
      </c>
      <c r="D469" t="str">
        <f>"9781849734813"</f>
        <v>9781849734813</v>
      </c>
      <c r="E469" t="s">
        <v>1759</v>
      </c>
      <c r="F469" s="1">
        <v>42297</v>
      </c>
      <c r="G469" t="s">
        <v>16</v>
      </c>
      <c r="H469">
        <v>2</v>
      </c>
      <c r="J469" t="s">
        <v>1760</v>
      </c>
      <c r="K469" t="s">
        <v>1761</v>
      </c>
      <c r="L469">
        <v>664.07</v>
      </c>
      <c r="M469" t="s">
        <v>1762</v>
      </c>
      <c r="N469" t="s">
        <v>20</v>
      </c>
    </row>
    <row r="470" spans="1:14">
      <c r="A470">
        <v>1187226</v>
      </c>
      <c r="B470" t="s">
        <v>1763</v>
      </c>
      <c r="C470" t="str">
        <f>"9789004226159"</f>
        <v>9789004226159</v>
      </c>
      <c r="D470" t="str">
        <f>"9789004226166"</f>
        <v>9789004226166</v>
      </c>
      <c r="E470" t="s">
        <v>468</v>
      </c>
      <c r="F470" s="1">
        <v>41381</v>
      </c>
      <c r="G470" t="s">
        <v>16</v>
      </c>
      <c r="H470">
        <v>1</v>
      </c>
      <c r="J470" t="s">
        <v>1764</v>
      </c>
      <c r="K470" t="s">
        <v>269</v>
      </c>
      <c r="L470">
        <v>342.08300000000003</v>
      </c>
      <c r="M470" t="s">
        <v>1765</v>
      </c>
      <c r="N470" t="s">
        <v>20</v>
      </c>
    </row>
    <row r="471" spans="1:14">
      <c r="A471">
        <v>1190926</v>
      </c>
      <c r="B471" t="s">
        <v>1766</v>
      </c>
      <c r="C471" t="str">
        <f>"9780814771891"</f>
        <v>9780814771891</v>
      </c>
      <c r="D471" t="str">
        <f>"9780814771907"</f>
        <v>9780814771907</v>
      </c>
      <c r="E471" t="s">
        <v>1301</v>
      </c>
      <c r="F471" s="1">
        <v>41479</v>
      </c>
      <c r="G471" t="s">
        <v>16</v>
      </c>
      <c r="I471" t="s">
        <v>1767</v>
      </c>
      <c r="J471" t="s">
        <v>1768</v>
      </c>
      <c r="K471" t="s">
        <v>1769</v>
      </c>
      <c r="L471">
        <v>302.23095479199998</v>
      </c>
      <c r="M471" t="s">
        <v>1770</v>
      </c>
      <c r="N471" t="s">
        <v>20</v>
      </c>
    </row>
    <row r="472" spans="1:14">
      <c r="A472">
        <v>1192583</v>
      </c>
      <c r="B472" t="s">
        <v>1771</v>
      </c>
      <c r="C472" t="str">
        <f>"9780199974962"</f>
        <v>9780199974962</v>
      </c>
      <c r="D472" t="str">
        <f>"9780199974986"</f>
        <v>9780199974986</v>
      </c>
      <c r="E472" t="s">
        <v>703</v>
      </c>
      <c r="F472" s="1">
        <v>41453</v>
      </c>
      <c r="G472" t="s">
        <v>16</v>
      </c>
      <c r="H472">
        <v>2</v>
      </c>
      <c r="I472" t="s">
        <v>1100</v>
      </c>
      <c r="J472" t="s">
        <v>1772</v>
      </c>
      <c r="K472" t="s">
        <v>50</v>
      </c>
      <c r="L472">
        <v>951.06</v>
      </c>
      <c r="M472" t="s">
        <v>1773</v>
      </c>
      <c r="N472" t="s">
        <v>20</v>
      </c>
    </row>
    <row r="473" spans="1:14">
      <c r="A473">
        <v>1204745</v>
      </c>
      <c r="B473" t="s">
        <v>1774</v>
      </c>
      <c r="C473" t="str">
        <f>"9781405105347"</f>
        <v>9781405105347</v>
      </c>
      <c r="D473" t="str">
        <f>"9781118690901"</f>
        <v>9781118690901</v>
      </c>
      <c r="E473" t="s">
        <v>26</v>
      </c>
      <c r="F473" s="1">
        <v>41416</v>
      </c>
      <c r="G473" t="s">
        <v>16</v>
      </c>
      <c r="H473">
        <v>2</v>
      </c>
      <c r="J473" t="s">
        <v>1775</v>
      </c>
      <c r="K473" t="s">
        <v>1776</v>
      </c>
      <c r="L473">
        <v>610.73030000000006</v>
      </c>
      <c r="M473" t="s">
        <v>1777</v>
      </c>
      <c r="N473" t="s">
        <v>20</v>
      </c>
    </row>
    <row r="474" spans="1:14">
      <c r="A474">
        <v>1209947</v>
      </c>
      <c r="B474" t="s">
        <v>1778</v>
      </c>
      <c r="C474" t="str">
        <f>"9789810227043"</f>
        <v>9789810227043</v>
      </c>
      <c r="D474" t="str">
        <f>"9789812830104"</f>
        <v>9789812830104</v>
      </c>
      <c r="E474" t="s">
        <v>1085</v>
      </c>
      <c r="F474" s="1">
        <v>35674</v>
      </c>
      <c r="G474" t="s">
        <v>16</v>
      </c>
      <c r="J474" t="s">
        <v>1779</v>
      </c>
      <c r="K474" t="s">
        <v>39</v>
      </c>
      <c r="L474">
        <v>515</v>
      </c>
      <c r="M474" t="s">
        <v>1780</v>
      </c>
      <c r="N474" t="s">
        <v>20</v>
      </c>
    </row>
    <row r="475" spans="1:14">
      <c r="A475">
        <v>1214387</v>
      </c>
      <c r="B475" t="s">
        <v>1781</v>
      </c>
      <c r="C475" t="str">
        <f>"9780814771167"</f>
        <v>9780814771167</v>
      </c>
      <c r="D475" t="str">
        <f>"9780814708316"</f>
        <v>9780814708316</v>
      </c>
      <c r="E475" t="s">
        <v>1301</v>
      </c>
      <c r="F475" s="1">
        <v>41477</v>
      </c>
      <c r="G475" t="s">
        <v>16</v>
      </c>
      <c r="J475" t="s">
        <v>1782</v>
      </c>
      <c r="K475" t="s">
        <v>269</v>
      </c>
      <c r="L475" t="s">
        <v>1783</v>
      </c>
      <c r="M475" t="s">
        <v>1784</v>
      </c>
      <c r="N475" t="s">
        <v>20</v>
      </c>
    </row>
    <row r="476" spans="1:14">
      <c r="A476">
        <v>1220636</v>
      </c>
      <c r="B476" t="s">
        <v>1785</v>
      </c>
      <c r="C476" t="str">
        <f>"9781615309634"</f>
        <v>9781615309634</v>
      </c>
      <c r="D476" t="str">
        <f>"9781615309757"</f>
        <v>9781615309757</v>
      </c>
      <c r="E476" t="s">
        <v>761</v>
      </c>
      <c r="F476" s="1">
        <v>41470</v>
      </c>
      <c r="G476" t="s">
        <v>16</v>
      </c>
      <c r="H476">
        <v>1</v>
      </c>
      <c r="I476" t="s">
        <v>1786</v>
      </c>
      <c r="J476" t="s">
        <v>1787</v>
      </c>
      <c r="K476" t="s">
        <v>50</v>
      </c>
      <c r="L476">
        <v>942</v>
      </c>
      <c r="M476" t="s">
        <v>1788</v>
      </c>
      <c r="N476" t="s">
        <v>20</v>
      </c>
    </row>
    <row r="477" spans="1:14">
      <c r="A477">
        <v>1220637</v>
      </c>
      <c r="B477" t="s">
        <v>1789</v>
      </c>
      <c r="C477" t="str">
        <f>"9781615309641"</f>
        <v>9781615309641</v>
      </c>
      <c r="D477" t="str">
        <f>"9781615309818"</f>
        <v>9781615309818</v>
      </c>
      <c r="E477" t="s">
        <v>761</v>
      </c>
      <c r="F477" s="1">
        <v>41470</v>
      </c>
      <c r="G477" t="s">
        <v>16</v>
      </c>
      <c r="H477">
        <v>1</v>
      </c>
      <c r="I477" t="s">
        <v>1786</v>
      </c>
      <c r="J477" t="s">
        <v>1790</v>
      </c>
      <c r="K477" t="s">
        <v>50</v>
      </c>
      <c r="L477">
        <v>944</v>
      </c>
      <c r="M477" t="s">
        <v>1791</v>
      </c>
      <c r="N477" t="s">
        <v>20</v>
      </c>
    </row>
    <row r="478" spans="1:14">
      <c r="A478">
        <v>1220638</v>
      </c>
      <c r="B478" t="s">
        <v>1792</v>
      </c>
      <c r="C478" t="str">
        <f>"9781615309658"</f>
        <v>9781615309658</v>
      </c>
      <c r="D478" t="str">
        <f>"9781615309832"</f>
        <v>9781615309832</v>
      </c>
      <c r="E478" t="s">
        <v>761</v>
      </c>
      <c r="F478" s="1">
        <v>41470</v>
      </c>
      <c r="G478" t="s">
        <v>16</v>
      </c>
      <c r="H478">
        <v>1</v>
      </c>
      <c r="I478" t="s">
        <v>1786</v>
      </c>
      <c r="J478" t="s">
        <v>1790</v>
      </c>
      <c r="K478" t="s">
        <v>50</v>
      </c>
      <c r="L478">
        <v>943</v>
      </c>
      <c r="M478" t="s">
        <v>1793</v>
      </c>
      <c r="N478" t="s">
        <v>20</v>
      </c>
    </row>
    <row r="479" spans="1:14">
      <c r="A479">
        <v>1220639</v>
      </c>
      <c r="B479" t="s">
        <v>1794</v>
      </c>
      <c r="C479" t="str">
        <f>"9781615309665"</f>
        <v>9781615309665</v>
      </c>
      <c r="D479" t="str">
        <f>"9781615309894"</f>
        <v>9781615309894</v>
      </c>
      <c r="E479" t="s">
        <v>761</v>
      </c>
      <c r="F479" s="1">
        <v>41470</v>
      </c>
      <c r="G479" t="s">
        <v>16</v>
      </c>
      <c r="H479">
        <v>1</v>
      </c>
      <c r="I479" t="s">
        <v>1786</v>
      </c>
      <c r="J479" t="s">
        <v>1795</v>
      </c>
      <c r="K479" t="s">
        <v>50</v>
      </c>
      <c r="L479">
        <v>945</v>
      </c>
      <c r="M479" t="s">
        <v>1796</v>
      </c>
      <c r="N479" t="s">
        <v>20</v>
      </c>
    </row>
    <row r="480" spans="1:14">
      <c r="A480">
        <v>1220640</v>
      </c>
      <c r="B480" t="s">
        <v>1797</v>
      </c>
      <c r="C480" t="str">
        <f>"9781615309672"</f>
        <v>9781615309672</v>
      </c>
      <c r="D480" t="str">
        <f>"9781615309931"</f>
        <v>9781615309931</v>
      </c>
      <c r="E480" t="s">
        <v>761</v>
      </c>
      <c r="F480" s="1">
        <v>41470</v>
      </c>
      <c r="G480" t="s">
        <v>16</v>
      </c>
      <c r="H480">
        <v>1</v>
      </c>
      <c r="I480" t="s">
        <v>1786</v>
      </c>
      <c r="J480" t="s">
        <v>1790</v>
      </c>
      <c r="K480" t="s">
        <v>50</v>
      </c>
      <c r="L480">
        <v>946</v>
      </c>
      <c r="M480" t="s">
        <v>1798</v>
      </c>
      <c r="N480" t="s">
        <v>20</v>
      </c>
    </row>
    <row r="481" spans="1:14">
      <c r="A481">
        <v>1220641</v>
      </c>
      <c r="B481" t="s">
        <v>1799</v>
      </c>
      <c r="C481" t="str">
        <f>"9781615309689"</f>
        <v>9781615309689</v>
      </c>
      <c r="D481" t="str">
        <f>"9781615309870"</f>
        <v>9781615309870</v>
      </c>
      <c r="E481" t="s">
        <v>761</v>
      </c>
      <c r="F481" s="1">
        <v>41470</v>
      </c>
      <c r="G481" t="s">
        <v>16</v>
      </c>
      <c r="H481">
        <v>1</v>
      </c>
      <c r="I481" t="s">
        <v>1786</v>
      </c>
      <c r="J481" t="s">
        <v>1795</v>
      </c>
      <c r="K481" t="s">
        <v>50</v>
      </c>
      <c r="L481">
        <v>943.70029999999997</v>
      </c>
      <c r="M481" t="s">
        <v>1800</v>
      </c>
      <c r="N481" t="s">
        <v>20</v>
      </c>
    </row>
    <row r="482" spans="1:14">
      <c r="A482">
        <v>1220642</v>
      </c>
      <c r="B482" t="s">
        <v>1801</v>
      </c>
      <c r="C482" t="str">
        <f>"9781615309696"</f>
        <v>9781615309696</v>
      </c>
      <c r="D482" t="str">
        <f>"9781615309955"</f>
        <v>9781615309955</v>
      </c>
      <c r="E482" t="s">
        <v>761</v>
      </c>
      <c r="F482" s="1">
        <v>41470</v>
      </c>
      <c r="G482" t="s">
        <v>16</v>
      </c>
      <c r="H482">
        <v>1</v>
      </c>
      <c r="I482" t="s">
        <v>1786</v>
      </c>
      <c r="J482" t="s">
        <v>1802</v>
      </c>
      <c r="K482" t="s">
        <v>50</v>
      </c>
      <c r="L482">
        <v>948</v>
      </c>
      <c r="M482" t="s">
        <v>1803</v>
      </c>
      <c r="N482" t="s">
        <v>20</v>
      </c>
    </row>
    <row r="483" spans="1:14">
      <c r="A483">
        <v>1220643</v>
      </c>
      <c r="B483" t="s">
        <v>1804</v>
      </c>
      <c r="C483" t="str">
        <f>"9781615309702"</f>
        <v>9781615309702</v>
      </c>
      <c r="D483" t="str">
        <f>"9781615309771"</f>
        <v>9781615309771</v>
      </c>
      <c r="E483" t="s">
        <v>761</v>
      </c>
      <c r="F483" s="1">
        <v>41470</v>
      </c>
      <c r="G483" t="s">
        <v>16</v>
      </c>
      <c r="H483">
        <v>1</v>
      </c>
      <c r="I483" t="s">
        <v>1786</v>
      </c>
      <c r="J483" t="s">
        <v>1795</v>
      </c>
      <c r="K483" t="s">
        <v>50</v>
      </c>
      <c r="L483">
        <v>943.6</v>
      </c>
      <c r="M483" t="s">
        <v>1805</v>
      </c>
      <c r="N483" t="s">
        <v>20</v>
      </c>
    </row>
    <row r="484" spans="1:14">
      <c r="A484">
        <v>1220644</v>
      </c>
      <c r="B484" t="s">
        <v>1806</v>
      </c>
      <c r="C484" t="str">
        <f>"9781615309719"</f>
        <v>9781615309719</v>
      </c>
      <c r="D484" t="str">
        <f>"9781615309917"</f>
        <v>9781615309917</v>
      </c>
      <c r="E484" t="s">
        <v>761</v>
      </c>
      <c r="F484" s="1">
        <v>41470</v>
      </c>
      <c r="G484" t="s">
        <v>16</v>
      </c>
      <c r="H484">
        <v>1</v>
      </c>
      <c r="I484" t="s">
        <v>1786</v>
      </c>
      <c r="J484" t="s">
        <v>1807</v>
      </c>
      <c r="K484" t="s">
        <v>50</v>
      </c>
      <c r="L484">
        <v>947.9</v>
      </c>
      <c r="M484" t="s">
        <v>1808</v>
      </c>
      <c r="N484" t="s">
        <v>20</v>
      </c>
    </row>
    <row r="485" spans="1:14">
      <c r="A485">
        <v>1220645</v>
      </c>
      <c r="B485" t="s">
        <v>1809</v>
      </c>
      <c r="C485" t="str">
        <f>"9781615309726"</f>
        <v>9781615309726</v>
      </c>
      <c r="D485" t="str">
        <f>"9781615309856"</f>
        <v>9781615309856</v>
      </c>
      <c r="E485" t="s">
        <v>761</v>
      </c>
      <c r="F485" s="1">
        <v>41470</v>
      </c>
      <c r="G485" t="s">
        <v>16</v>
      </c>
      <c r="H485">
        <v>1</v>
      </c>
      <c r="I485" t="s">
        <v>1786</v>
      </c>
      <c r="J485" t="s">
        <v>1810</v>
      </c>
      <c r="K485" t="s">
        <v>50</v>
      </c>
      <c r="L485">
        <v>940.03</v>
      </c>
      <c r="M485" t="s">
        <v>1811</v>
      </c>
      <c r="N485" t="s">
        <v>20</v>
      </c>
    </row>
    <row r="486" spans="1:14">
      <c r="A486">
        <v>1220646</v>
      </c>
      <c r="B486" t="s">
        <v>1812</v>
      </c>
      <c r="C486" t="str">
        <f>"9781615309733"</f>
        <v>9781615309733</v>
      </c>
      <c r="D486" t="str">
        <f>"9781615309795"</f>
        <v>9781615309795</v>
      </c>
      <c r="E486" t="s">
        <v>761</v>
      </c>
      <c r="F486" s="1">
        <v>41470</v>
      </c>
      <c r="G486" t="s">
        <v>16</v>
      </c>
      <c r="H486">
        <v>1</v>
      </c>
      <c r="I486" t="s">
        <v>1786</v>
      </c>
      <c r="J486" t="s">
        <v>1810</v>
      </c>
      <c r="K486" t="s">
        <v>50</v>
      </c>
      <c r="L486">
        <v>949.2</v>
      </c>
      <c r="M486" t="s">
        <v>1813</v>
      </c>
      <c r="N486" t="s">
        <v>20</v>
      </c>
    </row>
    <row r="487" spans="1:14">
      <c r="A487">
        <v>1220647</v>
      </c>
      <c r="B487" t="s">
        <v>1814</v>
      </c>
      <c r="C487" t="str">
        <f>"9781615309979"</f>
        <v>9781615309979</v>
      </c>
      <c r="D487" t="str">
        <f>"9781622750047"</f>
        <v>9781622750047</v>
      </c>
      <c r="E487" t="s">
        <v>761</v>
      </c>
      <c r="F487" s="1">
        <v>41470</v>
      </c>
      <c r="G487" t="s">
        <v>16</v>
      </c>
      <c r="H487">
        <v>1</v>
      </c>
      <c r="I487" t="s">
        <v>1815</v>
      </c>
      <c r="J487" t="s">
        <v>1816</v>
      </c>
      <c r="K487" t="s">
        <v>18</v>
      </c>
      <c r="L487">
        <v>880.09</v>
      </c>
      <c r="M487" t="s">
        <v>1817</v>
      </c>
      <c r="N487" t="s">
        <v>20</v>
      </c>
    </row>
    <row r="488" spans="1:14">
      <c r="A488">
        <v>1220648</v>
      </c>
      <c r="B488" t="s">
        <v>1818</v>
      </c>
      <c r="C488" t="str">
        <f>"9781615309986"</f>
        <v>9781615309986</v>
      </c>
      <c r="D488" t="str">
        <f>"9781622750122"</f>
        <v>9781622750122</v>
      </c>
      <c r="E488" t="s">
        <v>761</v>
      </c>
      <c r="F488" s="1">
        <v>41470</v>
      </c>
      <c r="G488" t="s">
        <v>16</v>
      </c>
      <c r="H488">
        <v>1</v>
      </c>
      <c r="I488" t="s">
        <v>1815</v>
      </c>
      <c r="J488" t="s">
        <v>1068</v>
      </c>
      <c r="K488" t="s">
        <v>18</v>
      </c>
      <c r="L488" t="s">
        <v>1819</v>
      </c>
      <c r="M488" t="s">
        <v>1820</v>
      </c>
      <c r="N488" t="s">
        <v>20</v>
      </c>
    </row>
    <row r="489" spans="1:14">
      <c r="A489">
        <v>1220649</v>
      </c>
      <c r="B489" t="s">
        <v>1821</v>
      </c>
      <c r="C489" t="str">
        <f>"9781615309993"</f>
        <v>9781615309993</v>
      </c>
      <c r="D489" t="str">
        <f>"9781622750108"</f>
        <v>9781622750108</v>
      </c>
      <c r="E489" t="s">
        <v>761</v>
      </c>
      <c r="F489" s="1">
        <v>41470</v>
      </c>
      <c r="G489" t="s">
        <v>16</v>
      </c>
      <c r="H489">
        <v>1</v>
      </c>
      <c r="I489" t="s">
        <v>1815</v>
      </c>
      <c r="J489" t="s">
        <v>1822</v>
      </c>
      <c r="K489" t="s">
        <v>18</v>
      </c>
      <c r="L489" t="s">
        <v>1823</v>
      </c>
      <c r="M489" t="s">
        <v>1824</v>
      </c>
      <c r="N489" t="s">
        <v>20</v>
      </c>
    </row>
    <row r="490" spans="1:14">
      <c r="A490">
        <v>1220650</v>
      </c>
      <c r="B490" t="s">
        <v>1825</v>
      </c>
      <c r="C490" t="str">
        <f>"9781622750016"</f>
        <v>9781622750016</v>
      </c>
      <c r="D490" t="str">
        <f>"9781622750061"</f>
        <v>9781622750061</v>
      </c>
      <c r="E490" t="s">
        <v>761</v>
      </c>
      <c r="F490" s="1">
        <v>41470</v>
      </c>
      <c r="G490" t="s">
        <v>16</v>
      </c>
      <c r="H490">
        <v>1</v>
      </c>
      <c r="I490" t="s">
        <v>1815</v>
      </c>
      <c r="J490" t="s">
        <v>1068</v>
      </c>
      <c r="K490" t="s">
        <v>18</v>
      </c>
      <c r="L490" t="s">
        <v>1826</v>
      </c>
      <c r="M490" t="s">
        <v>1827</v>
      </c>
      <c r="N490" t="s">
        <v>20</v>
      </c>
    </row>
    <row r="491" spans="1:14">
      <c r="A491">
        <v>1220651</v>
      </c>
      <c r="B491" t="s">
        <v>1828</v>
      </c>
      <c r="C491" t="str">
        <f>"9781622750023"</f>
        <v>9781622750023</v>
      </c>
      <c r="D491" t="str">
        <f>"9781622750085"</f>
        <v>9781622750085</v>
      </c>
      <c r="E491" t="s">
        <v>761</v>
      </c>
      <c r="F491" s="1">
        <v>41470</v>
      </c>
      <c r="G491" t="s">
        <v>16</v>
      </c>
      <c r="H491">
        <v>1</v>
      </c>
      <c r="I491" t="s">
        <v>1815</v>
      </c>
      <c r="J491" t="s">
        <v>1816</v>
      </c>
      <c r="K491" t="s">
        <v>18</v>
      </c>
      <c r="L491" t="s">
        <v>1829</v>
      </c>
      <c r="M491" t="s">
        <v>1830</v>
      </c>
      <c r="N491" t="s">
        <v>20</v>
      </c>
    </row>
    <row r="492" spans="1:14">
      <c r="A492">
        <v>1220652</v>
      </c>
      <c r="B492" t="s">
        <v>1831</v>
      </c>
      <c r="C492" t="str">
        <f>"9781622750030"</f>
        <v>9781622750030</v>
      </c>
      <c r="D492" t="str">
        <f>"9781622750153"</f>
        <v>9781622750153</v>
      </c>
      <c r="E492" t="s">
        <v>761</v>
      </c>
      <c r="F492" s="1">
        <v>41470</v>
      </c>
      <c r="G492" t="s">
        <v>16</v>
      </c>
      <c r="H492">
        <v>1</v>
      </c>
      <c r="I492" t="s">
        <v>1815</v>
      </c>
      <c r="J492" t="s">
        <v>1068</v>
      </c>
      <c r="K492" t="s">
        <v>18</v>
      </c>
      <c r="L492" t="s">
        <v>1832</v>
      </c>
      <c r="M492" t="s">
        <v>1833</v>
      </c>
      <c r="N492" t="s">
        <v>20</v>
      </c>
    </row>
    <row r="493" spans="1:14">
      <c r="A493">
        <v>1220654</v>
      </c>
      <c r="B493" t="s">
        <v>1834</v>
      </c>
      <c r="C493" t="str">
        <f>"9781622750221"</f>
        <v>9781622750221</v>
      </c>
      <c r="D493" t="str">
        <f>"9781622750252"</f>
        <v>9781622750252</v>
      </c>
      <c r="E493" t="s">
        <v>761</v>
      </c>
      <c r="F493" s="1">
        <v>41470</v>
      </c>
      <c r="G493" t="s">
        <v>16</v>
      </c>
      <c r="H493">
        <v>1</v>
      </c>
      <c r="I493" t="s">
        <v>1835</v>
      </c>
      <c r="J493" t="s">
        <v>1836</v>
      </c>
      <c r="K493" t="s">
        <v>891</v>
      </c>
      <c r="L493" t="s">
        <v>1837</v>
      </c>
      <c r="M493" t="s">
        <v>1838</v>
      </c>
      <c r="N493" t="s">
        <v>20</v>
      </c>
    </row>
    <row r="494" spans="1:14">
      <c r="A494">
        <v>1274269</v>
      </c>
      <c r="B494" t="s">
        <v>1839</v>
      </c>
      <c r="C494" t="str">
        <f>"9780199898121"</f>
        <v>9780199898121</v>
      </c>
      <c r="D494" t="str">
        <f>"9780199898114"</f>
        <v>9780199898114</v>
      </c>
      <c r="E494" t="s">
        <v>750</v>
      </c>
      <c r="F494" s="1">
        <v>41516</v>
      </c>
      <c r="G494" t="s">
        <v>16</v>
      </c>
      <c r="I494" t="s">
        <v>1100</v>
      </c>
      <c r="J494" t="s">
        <v>1840</v>
      </c>
      <c r="K494" t="s">
        <v>1841</v>
      </c>
      <c r="L494">
        <v>614.4</v>
      </c>
      <c r="M494" t="s">
        <v>1842</v>
      </c>
      <c r="N494" t="s">
        <v>20</v>
      </c>
    </row>
    <row r="495" spans="1:14">
      <c r="A495">
        <v>1274385</v>
      </c>
      <c r="B495" t="s">
        <v>1843</v>
      </c>
      <c r="C495" t="str">
        <f>"9780814720202"</f>
        <v>9780814720202</v>
      </c>
      <c r="D495" t="str">
        <f>"9781479878253"</f>
        <v>9781479878253</v>
      </c>
      <c r="E495" t="s">
        <v>1301</v>
      </c>
      <c r="F495" s="1">
        <v>41498</v>
      </c>
      <c r="G495" t="s">
        <v>16</v>
      </c>
      <c r="I495" t="s">
        <v>1844</v>
      </c>
      <c r="J495" t="s">
        <v>1845</v>
      </c>
      <c r="K495" t="s">
        <v>50</v>
      </c>
      <c r="L495">
        <v>973.04924000000005</v>
      </c>
      <c r="M495" t="s">
        <v>1846</v>
      </c>
      <c r="N495" t="s">
        <v>20</v>
      </c>
    </row>
    <row r="496" spans="1:14">
      <c r="A496">
        <v>1286889</v>
      </c>
      <c r="B496" t="s">
        <v>1847</v>
      </c>
      <c r="C496" t="str">
        <f>"9780786435821"</f>
        <v>9780786435821</v>
      </c>
      <c r="D496" t="str">
        <f>"9781476602981"</f>
        <v>9781476602981</v>
      </c>
      <c r="E496" t="s">
        <v>641</v>
      </c>
      <c r="F496" s="1">
        <v>41460</v>
      </c>
      <c r="G496" t="s">
        <v>16</v>
      </c>
      <c r="J496" t="s">
        <v>1848</v>
      </c>
      <c r="K496" t="s">
        <v>50</v>
      </c>
      <c r="L496">
        <v>951.05092200000001</v>
      </c>
      <c r="M496" t="s">
        <v>1849</v>
      </c>
      <c r="N496" t="s">
        <v>20</v>
      </c>
    </row>
    <row r="497" spans="1:14">
      <c r="A497">
        <v>1303572</v>
      </c>
      <c r="B497" t="s">
        <v>1850</v>
      </c>
      <c r="C497" t="str">
        <f>"9780521407441"</f>
        <v>9780521407441</v>
      </c>
      <c r="D497" t="str">
        <f>"9781107316829"</f>
        <v>9781107316829</v>
      </c>
      <c r="E497" t="s">
        <v>33</v>
      </c>
      <c r="F497" s="1">
        <v>40171</v>
      </c>
      <c r="G497" t="s">
        <v>16</v>
      </c>
      <c r="J497" t="s">
        <v>1851</v>
      </c>
      <c r="K497" t="s">
        <v>1852</v>
      </c>
      <c r="L497">
        <v>551.6</v>
      </c>
      <c r="M497" t="s">
        <v>1853</v>
      </c>
      <c r="N497" t="s">
        <v>20</v>
      </c>
    </row>
    <row r="498" spans="1:14">
      <c r="A498">
        <v>1319664</v>
      </c>
      <c r="B498" t="s">
        <v>1854</v>
      </c>
      <c r="C498" t="str">
        <f>"9780813347950"</f>
        <v>9780813347950</v>
      </c>
      <c r="D498" t="str">
        <f>"9780813347967"</f>
        <v>9780813347967</v>
      </c>
      <c r="E498" t="s">
        <v>1855</v>
      </c>
      <c r="F498" s="1">
        <v>41611</v>
      </c>
      <c r="G498" t="s">
        <v>16</v>
      </c>
      <c r="J498" t="s">
        <v>1856</v>
      </c>
      <c r="K498" t="s">
        <v>753</v>
      </c>
      <c r="L498" t="s">
        <v>1857</v>
      </c>
      <c r="M498" t="s">
        <v>1858</v>
      </c>
      <c r="N498" t="s">
        <v>20</v>
      </c>
    </row>
    <row r="499" spans="1:14">
      <c r="A499">
        <v>1322330</v>
      </c>
      <c r="B499" t="s">
        <v>1859</v>
      </c>
      <c r="C499" t="str">
        <f>"9780631228660"</f>
        <v>9780631228660</v>
      </c>
      <c r="D499" t="str">
        <f>"9781118593967"</f>
        <v>9781118593967</v>
      </c>
      <c r="E499" t="s">
        <v>26</v>
      </c>
      <c r="F499" s="1">
        <v>41540</v>
      </c>
      <c r="G499" t="s">
        <v>16</v>
      </c>
      <c r="H499">
        <v>1</v>
      </c>
      <c r="I499" t="s">
        <v>1860</v>
      </c>
      <c r="J499" t="s">
        <v>1861</v>
      </c>
      <c r="K499" t="s">
        <v>1862</v>
      </c>
      <c r="L499">
        <v>306.44</v>
      </c>
      <c r="M499" t="s">
        <v>1863</v>
      </c>
      <c r="N499" t="s">
        <v>20</v>
      </c>
    </row>
    <row r="500" spans="1:14">
      <c r="A500">
        <v>1330901</v>
      </c>
      <c r="B500" t="s">
        <v>1864</v>
      </c>
      <c r="C500" t="str">
        <f>"9780230246539"</f>
        <v>9780230246539</v>
      </c>
      <c r="D500" t="str">
        <f>"9780230367463"</f>
        <v>9780230367463</v>
      </c>
      <c r="E500" t="s">
        <v>145</v>
      </c>
      <c r="F500" s="1">
        <v>41010</v>
      </c>
      <c r="G500" t="s">
        <v>16</v>
      </c>
      <c r="J500" t="s">
        <v>1865</v>
      </c>
      <c r="K500" t="s">
        <v>1866</v>
      </c>
      <c r="L500">
        <v>796.48</v>
      </c>
      <c r="M500" t="s">
        <v>1867</v>
      </c>
      <c r="N500" t="s">
        <v>20</v>
      </c>
    </row>
    <row r="501" spans="1:14">
      <c r="A501">
        <v>1336501</v>
      </c>
      <c r="B501" t="s">
        <v>1868</v>
      </c>
      <c r="C501" t="str">
        <f>"9780199322381"</f>
        <v>9780199322381</v>
      </c>
      <c r="D501" t="str">
        <f>"9780199322404"</f>
        <v>9780199322404</v>
      </c>
      <c r="E501" t="s">
        <v>703</v>
      </c>
      <c r="F501" s="1">
        <v>41542</v>
      </c>
      <c r="G501" t="s">
        <v>16</v>
      </c>
      <c r="H501">
        <v>2</v>
      </c>
      <c r="I501" t="s">
        <v>1100</v>
      </c>
      <c r="J501" t="s">
        <v>1869</v>
      </c>
      <c r="K501" t="s">
        <v>1870</v>
      </c>
      <c r="L501" t="s">
        <v>1871</v>
      </c>
      <c r="M501" t="s">
        <v>1872</v>
      </c>
      <c r="N501" t="s">
        <v>20</v>
      </c>
    </row>
    <row r="502" spans="1:14">
      <c r="A502">
        <v>1337884</v>
      </c>
      <c r="B502" t="s">
        <v>1873</v>
      </c>
      <c r="C502" t="str">
        <f>"9780814789193"</f>
        <v>9780814789193</v>
      </c>
      <c r="D502" t="str">
        <f>"9780814760352"</f>
        <v>9780814760352</v>
      </c>
      <c r="E502" t="s">
        <v>1301</v>
      </c>
      <c r="F502" s="1">
        <v>41530</v>
      </c>
      <c r="G502" t="s">
        <v>16</v>
      </c>
      <c r="J502" t="s">
        <v>1874</v>
      </c>
      <c r="K502" t="s">
        <v>50</v>
      </c>
      <c r="L502">
        <v>973.2</v>
      </c>
      <c r="M502" t="s">
        <v>1875</v>
      </c>
      <c r="N502" t="s">
        <v>20</v>
      </c>
    </row>
    <row r="503" spans="1:14">
      <c r="A503">
        <v>1354685</v>
      </c>
      <c r="B503" t="s">
        <v>1876</v>
      </c>
      <c r="C503" t="str">
        <f>"9780691157863"</f>
        <v>9780691157863</v>
      </c>
      <c r="D503" t="str">
        <f>"9781400848058"</f>
        <v>9781400848058</v>
      </c>
      <c r="E503" t="s">
        <v>1877</v>
      </c>
      <c r="F503" s="1">
        <v>41602</v>
      </c>
      <c r="G503" t="s">
        <v>16</v>
      </c>
      <c r="J503" t="s">
        <v>1878</v>
      </c>
      <c r="K503" t="s">
        <v>94</v>
      </c>
      <c r="L503">
        <v>294.303</v>
      </c>
      <c r="M503" t="s">
        <v>1879</v>
      </c>
      <c r="N503" t="s">
        <v>20</v>
      </c>
    </row>
    <row r="504" spans="1:14">
      <c r="A504">
        <v>1357379</v>
      </c>
      <c r="B504" t="s">
        <v>1880</v>
      </c>
      <c r="C504" t="str">
        <f>"9780521697699"</f>
        <v>9780521697699</v>
      </c>
      <c r="D504" t="str">
        <f>"9781107316850"</f>
        <v>9781107316850</v>
      </c>
      <c r="E504" t="s">
        <v>33</v>
      </c>
      <c r="F504" s="1">
        <v>39594</v>
      </c>
      <c r="G504" t="s">
        <v>16</v>
      </c>
      <c r="J504" t="s">
        <v>1881</v>
      </c>
      <c r="K504" t="s">
        <v>155</v>
      </c>
      <c r="L504">
        <v>610.28</v>
      </c>
      <c r="M504" t="s">
        <v>1882</v>
      </c>
      <c r="N504" t="s">
        <v>20</v>
      </c>
    </row>
    <row r="505" spans="1:14">
      <c r="A505">
        <v>1362034</v>
      </c>
      <c r="B505" t="s">
        <v>1883</v>
      </c>
      <c r="C505" t="str">
        <f>"9781742233734"</f>
        <v>9781742233734</v>
      </c>
      <c r="D505" t="str">
        <f>"9781742246291"</f>
        <v>9781742246291</v>
      </c>
      <c r="E505" t="s">
        <v>1884</v>
      </c>
      <c r="F505" s="1">
        <v>41306</v>
      </c>
      <c r="G505" t="s">
        <v>16</v>
      </c>
      <c r="H505">
        <v>1</v>
      </c>
      <c r="J505" t="s">
        <v>1885</v>
      </c>
      <c r="K505" t="s">
        <v>386</v>
      </c>
      <c r="L505">
        <v>423.1</v>
      </c>
      <c r="M505" t="s">
        <v>1886</v>
      </c>
      <c r="N505" t="s">
        <v>20</v>
      </c>
    </row>
    <row r="506" spans="1:14">
      <c r="A506">
        <v>1386985</v>
      </c>
      <c r="B506" t="s">
        <v>1887</v>
      </c>
      <c r="C506" t="str">
        <f>"9780786468270"</f>
        <v>9780786468270</v>
      </c>
      <c r="D506" t="str">
        <f>"9781476605739"</f>
        <v>9781476605739</v>
      </c>
      <c r="E506" t="s">
        <v>641</v>
      </c>
      <c r="F506" s="1">
        <v>41516</v>
      </c>
      <c r="G506" t="s">
        <v>16</v>
      </c>
      <c r="H506">
        <v>3</v>
      </c>
      <c r="J506" t="s">
        <v>1888</v>
      </c>
      <c r="K506" t="s">
        <v>55</v>
      </c>
      <c r="L506">
        <v>394.2663</v>
      </c>
      <c r="M506" t="s">
        <v>1889</v>
      </c>
      <c r="N506" t="s">
        <v>20</v>
      </c>
    </row>
    <row r="507" spans="1:14">
      <c r="A507">
        <v>1386986</v>
      </c>
      <c r="B507" t="s">
        <v>1890</v>
      </c>
      <c r="C507" t="str">
        <f>"9780786471119"</f>
        <v>9780786471119</v>
      </c>
      <c r="D507" t="str">
        <f>"9781476612423"</f>
        <v>9781476612423</v>
      </c>
      <c r="E507" t="s">
        <v>641</v>
      </c>
      <c r="F507" s="1">
        <v>41516</v>
      </c>
      <c r="G507" t="s">
        <v>16</v>
      </c>
      <c r="J507" t="s">
        <v>735</v>
      </c>
      <c r="K507" t="s">
        <v>1891</v>
      </c>
      <c r="L507">
        <v>398.21</v>
      </c>
      <c r="M507" t="s">
        <v>1892</v>
      </c>
      <c r="N507" t="s">
        <v>20</v>
      </c>
    </row>
    <row r="508" spans="1:14">
      <c r="A508">
        <v>1387161</v>
      </c>
      <c r="B508" t="s">
        <v>1893</v>
      </c>
      <c r="C508" t="str">
        <f>"9781479847112"</f>
        <v>9781479847112</v>
      </c>
      <c r="D508" t="str">
        <f>"9781479844470"</f>
        <v>9781479844470</v>
      </c>
      <c r="E508" t="s">
        <v>1301</v>
      </c>
      <c r="F508" s="1">
        <v>41551</v>
      </c>
      <c r="G508" t="s">
        <v>16</v>
      </c>
      <c r="H508">
        <v>2</v>
      </c>
      <c r="J508" t="s">
        <v>1894</v>
      </c>
      <c r="K508" t="s">
        <v>985</v>
      </c>
      <c r="L508" t="s">
        <v>1895</v>
      </c>
      <c r="M508" t="s">
        <v>1896</v>
      </c>
      <c r="N508" t="s">
        <v>20</v>
      </c>
    </row>
    <row r="509" spans="1:14">
      <c r="A509">
        <v>1398195</v>
      </c>
      <c r="B509" t="s">
        <v>1897</v>
      </c>
      <c r="C509" t="str">
        <f>"9783527407422"</f>
        <v>9783527407422</v>
      </c>
      <c r="D509" t="str">
        <f>"9783527649273"</f>
        <v>9783527649273</v>
      </c>
      <c r="E509" t="s">
        <v>26</v>
      </c>
      <c r="F509" s="1">
        <v>41582</v>
      </c>
      <c r="G509" t="s">
        <v>16</v>
      </c>
      <c r="H509">
        <v>2</v>
      </c>
      <c r="I509" t="s">
        <v>1898</v>
      </c>
      <c r="J509" t="s">
        <v>1899</v>
      </c>
      <c r="K509" t="s">
        <v>423</v>
      </c>
      <c r="L509">
        <v>539.70000000000005</v>
      </c>
      <c r="M509" t="s">
        <v>1900</v>
      </c>
      <c r="N509" t="s">
        <v>20</v>
      </c>
    </row>
    <row r="510" spans="1:14">
      <c r="A510">
        <v>1402905</v>
      </c>
      <c r="B510" t="s">
        <v>1901</v>
      </c>
      <c r="C510" t="str">
        <f>"9780253348661"</f>
        <v>9780253348661</v>
      </c>
      <c r="D510" t="str">
        <f>"9780253013774"</f>
        <v>9780253013774</v>
      </c>
      <c r="E510" t="s">
        <v>1902</v>
      </c>
      <c r="F510" s="1">
        <v>39296</v>
      </c>
      <c r="G510" t="s">
        <v>16</v>
      </c>
      <c r="H510">
        <v>2</v>
      </c>
      <c r="I510" t="s">
        <v>1903</v>
      </c>
      <c r="J510" t="s">
        <v>1904</v>
      </c>
      <c r="K510" t="s">
        <v>35</v>
      </c>
      <c r="L510" t="s">
        <v>1905</v>
      </c>
      <c r="M510" t="s">
        <v>1906</v>
      </c>
      <c r="N510" t="s">
        <v>20</v>
      </c>
    </row>
    <row r="511" spans="1:14">
      <c r="A511">
        <v>1455574</v>
      </c>
      <c r="B511" t="s">
        <v>1907</v>
      </c>
      <c r="C511" t="str">
        <f>"9780814707395"</f>
        <v>9780814707395</v>
      </c>
      <c r="D511" t="str">
        <f>"9781479819713"</f>
        <v>9781479819713</v>
      </c>
      <c r="E511" t="s">
        <v>1301</v>
      </c>
      <c r="F511" s="1">
        <v>41561</v>
      </c>
      <c r="G511" t="s">
        <v>16</v>
      </c>
      <c r="I511" t="s">
        <v>1844</v>
      </c>
      <c r="J511" t="s">
        <v>1908</v>
      </c>
      <c r="K511" t="s">
        <v>94</v>
      </c>
      <c r="L511">
        <v>296.4350973</v>
      </c>
      <c r="M511" t="s">
        <v>1909</v>
      </c>
      <c r="N511" t="s">
        <v>20</v>
      </c>
    </row>
    <row r="512" spans="1:14">
      <c r="A512">
        <v>1480972</v>
      </c>
      <c r="B512" t="s">
        <v>1910</v>
      </c>
      <c r="C512" t="str">
        <f>"9780199311255"</f>
        <v>9780199311255</v>
      </c>
      <c r="D512" t="str">
        <f>"9780199311279"</f>
        <v>9780199311279</v>
      </c>
      <c r="E512" t="s">
        <v>703</v>
      </c>
      <c r="F512" s="1">
        <v>41617</v>
      </c>
      <c r="G512" t="s">
        <v>16</v>
      </c>
      <c r="I512" t="s">
        <v>1100</v>
      </c>
      <c r="J512" t="s">
        <v>1911</v>
      </c>
      <c r="K512" t="s">
        <v>1912</v>
      </c>
      <c r="L512">
        <v>622.33849999999995</v>
      </c>
      <c r="M512" t="s">
        <v>1913</v>
      </c>
      <c r="N512" t="s">
        <v>20</v>
      </c>
    </row>
    <row r="513" spans="1:14">
      <c r="A513">
        <v>1492914</v>
      </c>
      <c r="B513" t="s">
        <v>1914</v>
      </c>
      <c r="C513" t="str">
        <f>"9780838911112"</f>
        <v>9780838911112</v>
      </c>
      <c r="D513" t="str">
        <f>"9780838996553"</f>
        <v>9780838996553</v>
      </c>
      <c r="E513" t="s">
        <v>1915</v>
      </c>
      <c r="F513" s="1">
        <v>41415</v>
      </c>
      <c r="G513" t="s">
        <v>16</v>
      </c>
      <c r="H513">
        <v>4</v>
      </c>
      <c r="J513" t="s">
        <v>1916</v>
      </c>
      <c r="K513" t="s">
        <v>1917</v>
      </c>
      <c r="L513">
        <v>20.3</v>
      </c>
      <c r="M513" t="s">
        <v>1918</v>
      </c>
      <c r="N513" t="s">
        <v>20</v>
      </c>
    </row>
    <row r="514" spans="1:14">
      <c r="A514">
        <v>1507496</v>
      </c>
      <c r="B514" t="s">
        <v>1919</v>
      </c>
      <c r="C514" t="str">
        <f>"9780198569985"</f>
        <v>9780198569985</v>
      </c>
      <c r="D514" t="str">
        <f>"9780191546983"</f>
        <v>9780191546983</v>
      </c>
      <c r="E514" t="s">
        <v>703</v>
      </c>
      <c r="F514" s="1">
        <v>40381</v>
      </c>
      <c r="G514" t="s">
        <v>16</v>
      </c>
      <c r="J514" t="s">
        <v>1920</v>
      </c>
      <c r="K514" t="s">
        <v>837</v>
      </c>
      <c r="L514">
        <v>598</v>
      </c>
      <c r="M514" t="s">
        <v>1921</v>
      </c>
      <c r="N514" t="s">
        <v>20</v>
      </c>
    </row>
    <row r="515" spans="1:14">
      <c r="A515">
        <v>1538365</v>
      </c>
      <c r="B515" t="s">
        <v>1922</v>
      </c>
      <c r="C515" t="str">
        <f>"9780199918119"</f>
        <v>9780199918119</v>
      </c>
      <c r="D515" t="str">
        <f>"9780199918102"</f>
        <v>9780199918102</v>
      </c>
      <c r="E515" t="s">
        <v>703</v>
      </c>
      <c r="F515" s="1">
        <v>41642</v>
      </c>
      <c r="G515" t="s">
        <v>16</v>
      </c>
      <c r="I515" t="s">
        <v>1100</v>
      </c>
      <c r="J515" t="s">
        <v>1923</v>
      </c>
      <c r="K515" t="s">
        <v>710</v>
      </c>
      <c r="L515">
        <v>5.8</v>
      </c>
      <c r="M515" t="s">
        <v>1924</v>
      </c>
      <c r="N515" t="s">
        <v>20</v>
      </c>
    </row>
    <row r="516" spans="1:14">
      <c r="A516">
        <v>1569622</v>
      </c>
      <c r="B516" t="s">
        <v>1925</v>
      </c>
      <c r="C516" t="str">
        <f>"9789004184923"</f>
        <v>9789004184923</v>
      </c>
      <c r="D516" t="str">
        <f>"9789004217621"</f>
        <v>9789004217621</v>
      </c>
      <c r="E516" t="s">
        <v>468</v>
      </c>
      <c r="F516" s="1">
        <v>41148</v>
      </c>
      <c r="G516" t="s">
        <v>16</v>
      </c>
      <c r="H516">
        <v>1</v>
      </c>
      <c r="I516" t="s">
        <v>1646</v>
      </c>
      <c r="J516" t="s">
        <v>1926</v>
      </c>
      <c r="K516" t="s">
        <v>18</v>
      </c>
      <c r="L516" t="s">
        <v>1927</v>
      </c>
      <c r="M516" t="s">
        <v>1928</v>
      </c>
      <c r="N516" t="s">
        <v>20</v>
      </c>
    </row>
    <row r="517" spans="1:14">
      <c r="A517">
        <v>1572868</v>
      </c>
      <c r="B517" t="s">
        <v>1929</v>
      </c>
      <c r="C517" t="str">
        <f>"9780814724378"</f>
        <v>9780814724378</v>
      </c>
      <c r="D517" t="str">
        <f>"9780814724491"</f>
        <v>9780814724491</v>
      </c>
      <c r="E517" t="s">
        <v>1301</v>
      </c>
      <c r="F517" s="1">
        <v>41656</v>
      </c>
      <c r="G517" t="s">
        <v>16</v>
      </c>
      <c r="J517" t="s">
        <v>1894</v>
      </c>
      <c r="K517" t="s">
        <v>985</v>
      </c>
      <c r="L517">
        <v>305.80097499999999</v>
      </c>
      <c r="M517" t="s">
        <v>1930</v>
      </c>
      <c r="N517" t="s">
        <v>20</v>
      </c>
    </row>
    <row r="518" spans="1:14">
      <c r="A518">
        <v>1573118</v>
      </c>
      <c r="B518" t="s">
        <v>1931</v>
      </c>
      <c r="C518" t="str">
        <f>"9780199692323"</f>
        <v>9780199692323</v>
      </c>
      <c r="D518" t="str">
        <f>"9780191029585"</f>
        <v>9780191029585</v>
      </c>
      <c r="E518" t="s">
        <v>703</v>
      </c>
      <c r="F518" s="1">
        <v>40788</v>
      </c>
      <c r="G518" t="s">
        <v>16</v>
      </c>
      <c r="H518">
        <v>5</v>
      </c>
      <c r="I518" t="s">
        <v>1932</v>
      </c>
      <c r="J518" t="s">
        <v>1933</v>
      </c>
      <c r="K518" t="s">
        <v>269</v>
      </c>
      <c r="L518">
        <v>342.06</v>
      </c>
      <c r="M518" t="s">
        <v>1934</v>
      </c>
      <c r="N518" t="s">
        <v>20</v>
      </c>
    </row>
    <row r="519" spans="1:14">
      <c r="A519">
        <v>1579690</v>
      </c>
      <c r="B519" t="s">
        <v>1935</v>
      </c>
      <c r="C519" t="str">
        <f>"9781608077199"</f>
        <v>9781608077199</v>
      </c>
      <c r="D519" t="str">
        <f>"9781608077205"</f>
        <v>9781608077205</v>
      </c>
      <c r="E519" t="s">
        <v>1936</v>
      </c>
      <c r="F519" s="1">
        <v>41640</v>
      </c>
      <c r="G519" t="s">
        <v>16</v>
      </c>
      <c r="H519">
        <v>1</v>
      </c>
      <c r="J519" t="s">
        <v>1937</v>
      </c>
      <c r="K519" t="s">
        <v>1938</v>
      </c>
      <c r="L519">
        <v>621.38099999999997</v>
      </c>
      <c r="M519" t="s">
        <v>1939</v>
      </c>
      <c r="N519" t="s">
        <v>20</v>
      </c>
    </row>
    <row r="520" spans="1:14">
      <c r="A520">
        <v>1582383</v>
      </c>
      <c r="B520" t="s">
        <v>1940</v>
      </c>
      <c r="C520" t="str">
        <f>"9781118462669"</f>
        <v>9781118462669</v>
      </c>
      <c r="D520" t="str">
        <f>"9781118791394"</f>
        <v>9781118791394</v>
      </c>
      <c r="E520" t="s">
        <v>26</v>
      </c>
      <c r="F520" s="1">
        <v>41667</v>
      </c>
      <c r="G520" t="s">
        <v>16</v>
      </c>
      <c r="H520">
        <v>1</v>
      </c>
      <c r="J520" t="s">
        <v>1941</v>
      </c>
      <c r="K520" t="s">
        <v>408</v>
      </c>
      <c r="L520" t="s">
        <v>1942</v>
      </c>
      <c r="M520" t="s">
        <v>1943</v>
      </c>
      <c r="N520" t="s">
        <v>20</v>
      </c>
    </row>
    <row r="521" spans="1:14">
      <c r="A521">
        <v>1582931</v>
      </c>
      <c r="B521" t="s">
        <v>1944</v>
      </c>
      <c r="C521" t="str">
        <f>"9780814789285"</f>
        <v>9780814789285</v>
      </c>
      <c r="D521" t="str">
        <f>"9780814764824"</f>
        <v>9780814764824</v>
      </c>
      <c r="E521" t="s">
        <v>1301</v>
      </c>
      <c r="F521" s="1">
        <v>41659</v>
      </c>
      <c r="G521" t="s">
        <v>16</v>
      </c>
      <c r="I521" t="s">
        <v>1945</v>
      </c>
      <c r="J521" t="s">
        <v>1946</v>
      </c>
      <c r="K521" t="s">
        <v>155</v>
      </c>
      <c r="L521">
        <v>617.9</v>
      </c>
      <c r="M521" t="s">
        <v>1947</v>
      </c>
      <c r="N521" t="s">
        <v>20</v>
      </c>
    </row>
    <row r="522" spans="1:14">
      <c r="A522">
        <v>1591060</v>
      </c>
      <c r="B522" t="s">
        <v>1948</v>
      </c>
      <c r="C522" t="str">
        <f>"9780199651450"</f>
        <v>9780199651450</v>
      </c>
      <c r="D522" t="str">
        <f>"9780191002694"</f>
        <v>9780191002694</v>
      </c>
      <c r="E522" t="s">
        <v>703</v>
      </c>
      <c r="F522" s="1">
        <v>41773</v>
      </c>
      <c r="G522" t="s">
        <v>16</v>
      </c>
      <c r="I522" t="s">
        <v>1949</v>
      </c>
      <c r="J522" t="s">
        <v>1950</v>
      </c>
      <c r="K522" t="s">
        <v>1951</v>
      </c>
      <c r="L522">
        <v>660</v>
      </c>
      <c r="M522" t="s">
        <v>1952</v>
      </c>
      <c r="N522" t="s">
        <v>20</v>
      </c>
    </row>
    <row r="523" spans="1:14">
      <c r="A523">
        <v>1591335</v>
      </c>
      <c r="B523" t="s">
        <v>1953</v>
      </c>
      <c r="C523" t="str">
        <f>"9780195333602"</f>
        <v>9780195333602</v>
      </c>
      <c r="D523" t="str">
        <f>"9780199715398"</f>
        <v>9780199715398</v>
      </c>
      <c r="E523" t="s">
        <v>703</v>
      </c>
      <c r="F523" s="1">
        <v>40604</v>
      </c>
      <c r="G523" t="s">
        <v>16</v>
      </c>
      <c r="I523" t="s">
        <v>1954</v>
      </c>
      <c r="J523" t="s">
        <v>1955</v>
      </c>
      <c r="K523" t="s">
        <v>1956</v>
      </c>
      <c r="L523" t="s">
        <v>656</v>
      </c>
      <c r="M523" t="s">
        <v>1957</v>
      </c>
      <c r="N523" t="s">
        <v>20</v>
      </c>
    </row>
    <row r="524" spans="1:14">
      <c r="A524">
        <v>1591531</v>
      </c>
      <c r="B524" t="s">
        <v>1958</v>
      </c>
      <c r="C524" t="str">
        <f>"9780199795482"</f>
        <v>9780199795482</v>
      </c>
      <c r="D524" t="str">
        <f>"9780199878215"</f>
        <v>9780199878215</v>
      </c>
      <c r="E524" t="s">
        <v>703</v>
      </c>
      <c r="F524" s="1">
        <v>40648</v>
      </c>
      <c r="G524" t="s">
        <v>16</v>
      </c>
      <c r="J524" t="s">
        <v>1959</v>
      </c>
      <c r="K524" t="s">
        <v>269</v>
      </c>
      <c r="L524" t="s">
        <v>1960</v>
      </c>
      <c r="M524" t="s">
        <v>1961</v>
      </c>
      <c r="N524" t="s">
        <v>20</v>
      </c>
    </row>
    <row r="525" spans="1:14">
      <c r="A525">
        <v>1593394</v>
      </c>
      <c r="B525" t="s">
        <v>1962</v>
      </c>
      <c r="C525" t="str">
        <f>"9781781904237"</f>
        <v>9781781904237</v>
      </c>
      <c r="D525" t="str">
        <f>"9781781904244"</f>
        <v>9781781904244</v>
      </c>
      <c r="E525" t="s">
        <v>81</v>
      </c>
      <c r="F525" s="1">
        <v>41583</v>
      </c>
      <c r="G525" t="s">
        <v>16</v>
      </c>
      <c r="I525">
        <v>0</v>
      </c>
      <c r="J525" t="s">
        <v>1963</v>
      </c>
      <c r="K525" t="s">
        <v>408</v>
      </c>
      <c r="L525">
        <v>378</v>
      </c>
      <c r="M525" t="s">
        <v>1964</v>
      </c>
      <c r="N525" t="s">
        <v>20</v>
      </c>
    </row>
    <row r="526" spans="1:14">
      <c r="A526">
        <v>1593634</v>
      </c>
      <c r="B526" t="s">
        <v>1965</v>
      </c>
      <c r="C526" t="str">
        <f>"9780786432868"</f>
        <v>9780786432868</v>
      </c>
      <c r="D526" t="str">
        <f>"9780786451975"</f>
        <v>9780786451975</v>
      </c>
      <c r="E526" t="s">
        <v>641</v>
      </c>
      <c r="F526" s="1">
        <v>39783</v>
      </c>
      <c r="G526" t="s">
        <v>16</v>
      </c>
      <c r="J526" t="s">
        <v>1966</v>
      </c>
      <c r="K526" t="s">
        <v>969</v>
      </c>
      <c r="L526" t="s">
        <v>1967</v>
      </c>
      <c r="M526" t="s">
        <v>1968</v>
      </c>
      <c r="N526" t="s">
        <v>20</v>
      </c>
    </row>
    <row r="527" spans="1:14">
      <c r="A527">
        <v>1593665</v>
      </c>
      <c r="B527" t="s">
        <v>1969</v>
      </c>
      <c r="C527" t="str">
        <f>"9780786428915"</f>
        <v>9780786428915</v>
      </c>
      <c r="D527" t="str">
        <f>"9780786451098"</f>
        <v>9780786451098</v>
      </c>
      <c r="E527" t="s">
        <v>641</v>
      </c>
      <c r="F527" s="1">
        <v>39417</v>
      </c>
      <c r="G527" t="s">
        <v>16</v>
      </c>
      <c r="J527" t="s">
        <v>1970</v>
      </c>
      <c r="K527" t="s">
        <v>18</v>
      </c>
      <c r="L527" t="s">
        <v>1971</v>
      </c>
      <c r="M527" t="s">
        <v>1972</v>
      </c>
      <c r="N527" t="s">
        <v>20</v>
      </c>
    </row>
    <row r="528" spans="1:14">
      <c r="A528">
        <v>1593670</v>
      </c>
      <c r="B528" t="s">
        <v>1973</v>
      </c>
      <c r="C528" t="str">
        <f>"9780786441525"</f>
        <v>9780786441525</v>
      </c>
      <c r="D528" t="str">
        <f>"9780786455720"</f>
        <v>9780786455720</v>
      </c>
      <c r="E528" t="s">
        <v>641</v>
      </c>
      <c r="F528" s="1">
        <v>40513</v>
      </c>
      <c r="G528" t="s">
        <v>16</v>
      </c>
      <c r="I528" t="s">
        <v>642</v>
      </c>
      <c r="J528" t="s">
        <v>1974</v>
      </c>
      <c r="K528" t="s">
        <v>18</v>
      </c>
      <c r="L528" t="s">
        <v>1975</v>
      </c>
      <c r="M528" t="s">
        <v>1976</v>
      </c>
      <c r="N528" t="s">
        <v>20</v>
      </c>
    </row>
    <row r="529" spans="1:14">
      <c r="A529">
        <v>1593680</v>
      </c>
      <c r="B529" t="s">
        <v>1977</v>
      </c>
      <c r="C529" t="str">
        <f>"9780786438037"</f>
        <v>9780786438037</v>
      </c>
      <c r="D529" t="str">
        <f>"9780786451944"</f>
        <v>9780786451944</v>
      </c>
      <c r="E529" t="s">
        <v>641</v>
      </c>
      <c r="F529" s="1">
        <v>39674</v>
      </c>
      <c r="G529" t="s">
        <v>16</v>
      </c>
      <c r="H529">
        <v>2</v>
      </c>
      <c r="J529" t="s">
        <v>1978</v>
      </c>
      <c r="K529" t="s">
        <v>309</v>
      </c>
      <c r="L529" t="s">
        <v>1979</v>
      </c>
      <c r="M529" t="s">
        <v>1980</v>
      </c>
      <c r="N529" t="s">
        <v>20</v>
      </c>
    </row>
    <row r="530" spans="1:14">
      <c r="A530">
        <v>1593704</v>
      </c>
      <c r="B530" t="s">
        <v>1981</v>
      </c>
      <c r="C530" t="str">
        <f>"9780786437122"</f>
        <v>9780786437122</v>
      </c>
      <c r="D530" t="str">
        <f>"9780786454815"</f>
        <v>9780786454815</v>
      </c>
      <c r="E530" t="s">
        <v>641</v>
      </c>
      <c r="F530" s="1">
        <v>40148</v>
      </c>
      <c r="G530" t="s">
        <v>16</v>
      </c>
      <c r="J530" t="s">
        <v>713</v>
      </c>
      <c r="K530" t="s">
        <v>891</v>
      </c>
      <c r="L530">
        <v>910.3</v>
      </c>
      <c r="M530" t="s">
        <v>1982</v>
      </c>
      <c r="N530" t="s">
        <v>20</v>
      </c>
    </row>
    <row r="531" spans="1:14">
      <c r="A531">
        <v>1593738</v>
      </c>
      <c r="B531" t="s">
        <v>1983</v>
      </c>
      <c r="C531" t="str">
        <f>"9780786432639"</f>
        <v>9780786432639</v>
      </c>
      <c r="D531" t="str">
        <f>"9780786451838"</f>
        <v>9780786451838</v>
      </c>
      <c r="E531" t="s">
        <v>641</v>
      </c>
      <c r="F531" s="1">
        <v>39623</v>
      </c>
      <c r="G531" t="s">
        <v>16</v>
      </c>
      <c r="H531">
        <v>2</v>
      </c>
      <c r="J531" t="s">
        <v>1984</v>
      </c>
      <c r="K531" t="s">
        <v>55</v>
      </c>
      <c r="L531" t="s">
        <v>1985</v>
      </c>
      <c r="M531" t="s">
        <v>1986</v>
      </c>
      <c r="N531" t="s">
        <v>20</v>
      </c>
    </row>
    <row r="532" spans="1:14">
      <c r="A532">
        <v>1593739</v>
      </c>
      <c r="B532" t="s">
        <v>1987</v>
      </c>
      <c r="C532" t="str">
        <f>"9780786438389"</f>
        <v>9780786438389</v>
      </c>
      <c r="D532" t="str">
        <f>"9780786452910"</f>
        <v>9780786452910</v>
      </c>
      <c r="E532" t="s">
        <v>641</v>
      </c>
      <c r="F532" s="1">
        <v>39717</v>
      </c>
      <c r="G532" t="s">
        <v>16</v>
      </c>
      <c r="H532">
        <v>2</v>
      </c>
      <c r="J532" t="s">
        <v>1988</v>
      </c>
      <c r="K532" t="s">
        <v>55</v>
      </c>
      <c r="L532" t="s">
        <v>1989</v>
      </c>
      <c r="M532" t="s">
        <v>1990</v>
      </c>
      <c r="N532" t="s">
        <v>20</v>
      </c>
    </row>
    <row r="533" spans="1:14">
      <c r="A533">
        <v>1594591</v>
      </c>
      <c r="B533" t="s">
        <v>1991</v>
      </c>
      <c r="C533" t="str">
        <f>"9780786437900"</f>
        <v>9780786437900</v>
      </c>
      <c r="D533" t="str">
        <f>"9780786458042"</f>
        <v>9780786458042</v>
      </c>
      <c r="E533" t="s">
        <v>641</v>
      </c>
      <c r="F533" s="1">
        <v>40116</v>
      </c>
      <c r="G533" t="s">
        <v>16</v>
      </c>
      <c r="J533" t="s">
        <v>1992</v>
      </c>
      <c r="K533" t="s">
        <v>35</v>
      </c>
      <c r="L533" t="s">
        <v>1993</v>
      </c>
      <c r="M533" t="s">
        <v>1994</v>
      </c>
      <c r="N533" t="s">
        <v>20</v>
      </c>
    </row>
    <row r="534" spans="1:14">
      <c r="A534">
        <v>1594609</v>
      </c>
      <c r="B534" t="s">
        <v>1995</v>
      </c>
      <c r="C534" t="str">
        <f>"9780786473724"</f>
        <v>9780786473724</v>
      </c>
      <c r="D534" t="str">
        <f>"9781476603698"</f>
        <v>9781476603698</v>
      </c>
      <c r="E534" t="s">
        <v>641</v>
      </c>
      <c r="F534" s="1">
        <v>41625</v>
      </c>
      <c r="G534" t="s">
        <v>16</v>
      </c>
      <c r="J534" t="s">
        <v>1996</v>
      </c>
      <c r="K534" t="s">
        <v>50</v>
      </c>
      <c r="L534">
        <v>943.08600000000001</v>
      </c>
      <c r="M534" t="s">
        <v>1997</v>
      </c>
      <c r="N534" t="s">
        <v>20</v>
      </c>
    </row>
    <row r="535" spans="1:14">
      <c r="A535">
        <v>1594680</v>
      </c>
      <c r="B535" t="s">
        <v>1998</v>
      </c>
      <c r="C535" t="str">
        <f>"9780786434480"</f>
        <v>9780786434480</v>
      </c>
      <c r="D535" t="str">
        <f>"9780786453092"</f>
        <v>9780786453092</v>
      </c>
      <c r="E535" t="s">
        <v>641</v>
      </c>
      <c r="F535" s="1">
        <v>40148</v>
      </c>
      <c r="G535" t="s">
        <v>16</v>
      </c>
      <c r="J535" t="s">
        <v>1439</v>
      </c>
      <c r="K535" t="s">
        <v>35</v>
      </c>
      <c r="L535" t="s">
        <v>1999</v>
      </c>
      <c r="M535" t="s">
        <v>2000</v>
      </c>
      <c r="N535" t="s">
        <v>20</v>
      </c>
    </row>
    <row r="536" spans="1:14">
      <c r="A536">
        <v>1594694</v>
      </c>
      <c r="B536" t="s">
        <v>2001</v>
      </c>
      <c r="C536" t="str">
        <f>"9780786443796"</f>
        <v>9780786443796</v>
      </c>
      <c r="D536" t="str">
        <f>"9780786454594"</f>
        <v>9780786454594</v>
      </c>
      <c r="E536" t="s">
        <v>641</v>
      </c>
      <c r="F536" s="1">
        <v>40148</v>
      </c>
      <c r="G536" t="s">
        <v>16</v>
      </c>
      <c r="J536" t="s">
        <v>932</v>
      </c>
      <c r="K536" t="s">
        <v>50</v>
      </c>
      <c r="L536">
        <v>973.30921999999998</v>
      </c>
      <c r="M536" t="s">
        <v>2002</v>
      </c>
      <c r="N536" t="s">
        <v>20</v>
      </c>
    </row>
    <row r="537" spans="1:14">
      <c r="A537">
        <v>1594711</v>
      </c>
      <c r="B537" t="s">
        <v>2003</v>
      </c>
      <c r="C537" t="str">
        <f>"9780786432943"</f>
        <v>9780786432943</v>
      </c>
      <c r="D537" t="str">
        <f>"9780786451128"</f>
        <v>9780786451128</v>
      </c>
      <c r="E537" t="s">
        <v>641</v>
      </c>
      <c r="F537" s="1">
        <v>39351</v>
      </c>
      <c r="G537" t="s">
        <v>16</v>
      </c>
      <c r="H537">
        <v>2</v>
      </c>
      <c r="J537" t="s">
        <v>2004</v>
      </c>
      <c r="K537" t="s">
        <v>309</v>
      </c>
      <c r="L537">
        <v>796.04409701999998</v>
      </c>
      <c r="M537" t="s">
        <v>2005</v>
      </c>
      <c r="N537" t="s">
        <v>20</v>
      </c>
    </row>
    <row r="538" spans="1:14">
      <c r="A538">
        <v>1594728</v>
      </c>
      <c r="B538" t="s">
        <v>2006</v>
      </c>
      <c r="C538" t="str">
        <f>"9780786438280"</f>
        <v>9780786438280</v>
      </c>
      <c r="D538" t="str">
        <f>"9780786454525"</f>
        <v>9780786454525</v>
      </c>
      <c r="E538" t="s">
        <v>641</v>
      </c>
      <c r="F538" s="1">
        <v>40148</v>
      </c>
      <c r="G538" t="s">
        <v>16</v>
      </c>
      <c r="J538" t="s">
        <v>2007</v>
      </c>
      <c r="K538" t="s">
        <v>35</v>
      </c>
      <c r="L538" t="s">
        <v>2008</v>
      </c>
      <c r="M538" t="s">
        <v>2009</v>
      </c>
      <c r="N538" t="s">
        <v>20</v>
      </c>
    </row>
    <row r="539" spans="1:14">
      <c r="A539">
        <v>1594747</v>
      </c>
      <c r="B539" t="s">
        <v>2010</v>
      </c>
      <c r="C539" t="str">
        <f>"9780786434015"</f>
        <v>9780786434015</v>
      </c>
      <c r="D539" t="str">
        <f>"9780786456598"</f>
        <v>9780786456598</v>
      </c>
      <c r="E539" t="s">
        <v>641</v>
      </c>
      <c r="F539" s="1">
        <v>40513</v>
      </c>
      <c r="G539" t="s">
        <v>16</v>
      </c>
      <c r="I539" t="s">
        <v>642</v>
      </c>
      <c r="J539" t="s">
        <v>2011</v>
      </c>
      <c r="K539" t="s">
        <v>18</v>
      </c>
      <c r="L539" t="s">
        <v>2012</v>
      </c>
      <c r="M539" t="s">
        <v>2013</v>
      </c>
      <c r="N539" t="s">
        <v>20</v>
      </c>
    </row>
    <row r="540" spans="1:14">
      <c r="A540">
        <v>1594749</v>
      </c>
      <c r="B540" t="s">
        <v>2014</v>
      </c>
      <c r="C540" t="str">
        <f>"9780786433995"</f>
        <v>9780786433995</v>
      </c>
      <c r="D540" t="str">
        <f>"9780786457311"</f>
        <v>9780786457311</v>
      </c>
      <c r="E540" t="s">
        <v>641</v>
      </c>
      <c r="F540" s="1">
        <v>40513</v>
      </c>
      <c r="G540" t="s">
        <v>16</v>
      </c>
      <c r="J540" t="s">
        <v>2015</v>
      </c>
      <c r="K540" t="s">
        <v>35</v>
      </c>
      <c r="L540">
        <v>792.6</v>
      </c>
      <c r="M540" t="s">
        <v>2016</v>
      </c>
      <c r="N540" t="s">
        <v>20</v>
      </c>
    </row>
    <row r="541" spans="1:14">
      <c r="A541">
        <v>1594823</v>
      </c>
      <c r="B541" t="s">
        <v>2017</v>
      </c>
      <c r="C541" t="str">
        <f>"9780786442669"</f>
        <v>9780786442669</v>
      </c>
      <c r="D541" t="str">
        <f>"9780786453429"</f>
        <v>9780786453429</v>
      </c>
      <c r="E541" t="s">
        <v>641</v>
      </c>
      <c r="F541" s="1">
        <v>40148</v>
      </c>
      <c r="G541" t="s">
        <v>16</v>
      </c>
      <c r="J541" t="s">
        <v>2018</v>
      </c>
      <c r="K541" t="s">
        <v>2019</v>
      </c>
      <c r="L541">
        <v>623.803</v>
      </c>
      <c r="M541" t="s">
        <v>2020</v>
      </c>
      <c r="N541" t="s">
        <v>20</v>
      </c>
    </row>
    <row r="542" spans="1:14">
      <c r="A542">
        <v>1596841</v>
      </c>
      <c r="B542" t="s">
        <v>2021</v>
      </c>
      <c r="C542" t="str">
        <f>"9789004154612"</f>
        <v>9789004154612</v>
      </c>
      <c r="D542" t="str">
        <f>"9789004217089"</f>
        <v>9789004217089</v>
      </c>
      <c r="E542" t="s">
        <v>468</v>
      </c>
      <c r="F542" s="1">
        <v>41621</v>
      </c>
      <c r="G542" t="s">
        <v>16</v>
      </c>
      <c r="H542">
        <v>1</v>
      </c>
      <c r="I542" t="s">
        <v>1646</v>
      </c>
      <c r="J542" t="s">
        <v>2022</v>
      </c>
      <c r="K542" t="s">
        <v>2023</v>
      </c>
      <c r="L542">
        <v>188</v>
      </c>
      <c r="M542" t="s">
        <v>2024</v>
      </c>
      <c r="N542" t="s">
        <v>20</v>
      </c>
    </row>
    <row r="543" spans="1:14">
      <c r="A543">
        <v>1597584</v>
      </c>
      <c r="B543" t="s">
        <v>2025</v>
      </c>
      <c r="C543" t="str">
        <f>"9783110341164"</f>
        <v>9783110341164</v>
      </c>
      <c r="D543" t="str">
        <f>"9783110341287"</f>
        <v>9783110341287</v>
      </c>
      <c r="E543" t="s">
        <v>1632</v>
      </c>
      <c r="F543" s="1">
        <v>41729</v>
      </c>
      <c r="G543" t="s">
        <v>16</v>
      </c>
      <c r="I543" t="s">
        <v>2026</v>
      </c>
      <c r="J543" t="s">
        <v>2027</v>
      </c>
      <c r="K543" t="s">
        <v>386</v>
      </c>
      <c r="L543">
        <v>423</v>
      </c>
      <c r="M543" t="s">
        <v>2028</v>
      </c>
      <c r="N543" t="s">
        <v>20</v>
      </c>
    </row>
    <row r="544" spans="1:14">
      <c r="A544">
        <v>1602504</v>
      </c>
      <c r="B544" t="s">
        <v>2029</v>
      </c>
      <c r="C544" t="str">
        <f>"9780814787168"</f>
        <v>9780814787168</v>
      </c>
      <c r="D544" t="str">
        <f>"9781479880423"</f>
        <v>9781479880423</v>
      </c>
      <c r="E544" t="s">
        <v>1301</v>
      </c>
      <c r="F544" s="1">
        <v>41684</v>
      </c>
      <c r="G544" t="s">
        <v>16</v>
      </c>
      <c r="J544" t="s">
        <v>2030</v>
      </c>
      <c r="K544" t="s">
        <v>2031</v>
      </c>
      <c r="L544">
        <v>621.87699999999995</v>
      </c>
      <c r="M544" t="s">
        <v>2032</v>
      </c>
      <c r="N544" t="s">
        <v>20</v>
      </c>
    </row>
    <row r="545" spans="1:14">
      <c r="A545">
        <v>1611704</v>
      </c>
      <c r="B545" t="s">
        <v>2033</v>
      </c>
      <c r="C545" t="str">
        <f>"9780814777053"</f>
        <v>9780814777053</v>
      </c>
      <c r="D545" t="str">
        <f>"9780814777077"</f>
        <v>9780814777077</v>
      </c>
      <c r="E545" t="s">
        <v>1301</v>
      </c>
      <c r="F545" s="1">
        <v>41705</v>
      </c>
      <c r="G545" t="s">
        <v>16</v>
      </c>
      <c r="I545" t="s">
        <v>2034</v>
      </c>
      <c r="J545" t="s">
        <v>2035</v>
      </c>
      <c r="K545" t="s">
        <v>151</v>
      </c>
      <c r="L545">
        <v>616.89</v>
      </c>
      <c r="M545" t="s">
        <v>2036</v>
      </c>
      <c r="N545" t="s">
        <v>20</v>
      </c>
    </row>
    <row r="546" spans="1:14">
      <c r="A546">
        <v>1630550</v>
      </c>
      <c r="B546" t="s">
        <v>2037</v>
      </c>
      <c r="C546" t="str">
        <f>"9780814796290"</f>
        <v>9780814796290</v>
      </c>
      <c r="D546" t="str">
        <f>"9780814764367"</f>
        <v>9780814764367</v>
      </c>
      <c r="E546" t="s">
        <v>1301</v>
      </c>
      <c r="F546" s="1">
        <v>41730</v>
      </c>
      <c r="G546" t="s">
        <v>16</v>
      </c>
      <c r="J546" t="s">
        <v>2038</v>
      </c>
      <c r="K546" t="s">
        <v>2039</v>
      </c>
      <c r="L546" t="s">
        <v>2040</v>
      </c>
      <c r="M546" t="s">
        <v>2041</v>
      </c>
      <c r="N546" t="s">
        <v>20</v>
      </c>
    </row>
    <row r="547" spans="1:14">
      <c r="A547">
        <v>1630551</v>
      </c>
      <c r="B547" t="s">
        <v>2042</v>
      </c>
      <c r="C547" t="str">
        <f>"9780814762790"</f>
        <v>9780814762790</v>
      </c>
      <c r="D547" t="str">
        <f>"9780814770153"</f>
        <v>9780814770153</v>
      </c>
      <c r="E547" t="s">
        <v>1301</v>
      </c>
      <c r="F547" s="1">
        <v>41726</v>
      </c>
      <c r="G547" t="s">
        <v>16</v>
      </c>
      <c r="I547" t="s">
        <v>1596</v>
      </c>
      <c r="J547" t="s">
        <v>2043</v>
      </c>
      <c r="K547" t="s">
        <v>55</v>
      </c>
      <c r="L547">
        <v>302.23</v>
      </c>
      <c r="M547" t="s">
        <v>2044</v>
      </c>
      <c r="N547" t="s">
        <v>20</v>
      </c>
    </row>
    <row r="548" spans="1:14">
      <c r="A548">
        <v>1630554</v>
      </c>
      <c r="B548" t="s">
        <v>2045</v>
      </c>
      <c r="C548" t="str">
        <f>"9780199379804"</f>
        <v>9780199379804</v>
      </c>
      <c r="D548" t="str">
        <f>"9780199379811"</f>
        <v>9780199379811</v>
      </c>
      <c r="E548" t="s">
        <v>703</v>
      </c>
      <c r="F548" s="1">
        <v>41730</v>
      </c>
      <c r="G548" t="s">
        <v>16</v>
      </c>
      <c r="I548" t="s">
        <v>1100</v>
      </c>
      <c r="J548" t="s">
        <v>2046</v>
      </c>
      <c r="K548" t="s">
        <v>94</v>
      </c>
      <c r="L548">
        <v>282</v>
      </c>
      <c r="M548" t="s">
        <v>2047</v>
      </c>
      <c r="N548" t="s">
        <v>20</v>
      </c>
    </row>
    <row r="549" spans="1:14">
      <c r="A549">
        <v>1630555</v>
      </c>
      <c r="B549" t="s">
        <v>2048</v>
      </c>
      <c r="C549" t="str">
        <f>"9780199587186"</f>
        <v>9780199587186</v>
      </c>
      <c r="D549" t="str">
        <f>"9780191030109"</f>
        <v>9780191030109</v>
      </c>
      <c r="E549" t="s">
        <v>1283</v>
      </c>
      <c r="F549" s="1">
        <v>40861</v>
      </c>
      <c r="G549" t="s">
        <v>16</v>
      </c>
      <c r="H549">
        <v>3</v>
      </c>
      <c r="I549" t="s">
        <v>2049</v>
      </c>
      <c r="J549" t="s">
        <v>2050</v>
      </c>
      <c r="K549" t="s">
        <v>155</v>
      </c>
      <c r="L549" t="s">
        <v>2051</v>
      </c>
      <c r="M549" t="s">
        <v>2052</v>
      </c>
      <c r="N549" t="s">
        <v>20</v>
      </c>
    </row>
    <row r="550" spans="1:14">
      <c r="A550">
        <v>1632822</v>
      </c>
      <c r="B550" t="s">
        <v>2053</v>
      </c>
      <c r="C550" t="str">
        <f>"9780826197825"</f>
        <v>9780826197825</v>
      </c>
      <c r="D550" t="str">
        <f>"9780826168757"</f>
        <v>9780826168757</v>
      </c>
      <c r="E550" t="s">
        <v>379</v>
      </c>
      <c r="F550" s="1">
        <v>41680</v>
      </c>
      <c r="G550" t="s">
        <v>16</v>
      </c>
      <c r="H550">
        <v>3</v>
      </c>
      <c r="J550" t="s">
        <v>2054</v>
      </c>
      <c r="K550" t="s">
        <v>1776</v>
      </c>
      <c r="L550">
        <v>610.73</v>
      </c>
      <c r="M550" t="s">
        <v>2055</v>
      </c>
      <c r="N550" t="s">
        <v>20</v>
      </c>
    </row>
    <row r="551" spans="1:14">
      <c r="A551">
        <v>1636277</v>
      </c>
      <c r="B551" t="s">
        <v>2056</v>
      </c>
      <c r="C551" t="str">
        <f>"9780814762899"</f>
        <v>9780814762899</v>
      </c>
      <c r="D551" t="str">
        <f>"9780814770788"</f>
        <v>9780814770788</v>
      </c>
      <c r="E551" t="s">
        <v>1301</v>
      </c>
      <c r="F551" s="1">
        <v>41733</v>
      </c>
      <c r="G551" t="s">
        <v>16</v>
      </c>
      <c r="I551" t="s">
        <v>1596</v>
      </c>
      <c r="J551" t="s">
        <v>2057</v>
      </c>
      <c r="K551" t="s">
        <v>55</v>
      </c>
      <c r="L551">
        <v>302.23097300000001</v>
      </c>
      <c r="M551" t="s">
        <v>2058</v>
      </c>
      <c r="N551" t="s">
        <v>20</v>
      </c>
    </row>
    <row r="552" spans="1:14">
      <c r="A552">
        <v>1641590</v>
      </c>
      <c r="B552" t="s">
        <v>2059</v>
      </c>
      <c r="C552" t="str">
        <f>"9781608076994"</f>
        <v>9781608076994</v>
      </c>
      <c r="D552" t="str">
        <f>"9781608077007"</f>
        <v>9781608077007</v>
      </c>
      <c r="E552" t="s">
        <v>1936</v>
      </c>
      <c r="F552" s="1">
        <v>41699</v>
      </c>
      <c r="G552" t="s">
        <v>16</v>
      </c>
      <c r="J552" t="s">
        <v>2060</v>
      </c>
      <c r="K552" t="s">
        <v>2061</v>
      </c>
      <c r="L552">
        <v>621.38400000000001</v>
      </c>
      <c r="M552" t="s">
        <v>2062</v>
      </c>
      <c r="N552" t="s">
        <v>20</v>
      </c>
    </row>
    <row r="553" spans="1:14">
      <c r="A553">
        <v>1643911</v>
      </c>
      <c r="B553" t="s">
        <v>2063</v>
      </c>
      <c r="C553" t="str">
        <f>"9780786478484"</f>
        <v>9780786478484</v>
      </c>
      <c r="D553" t="str">
        <f>"9781476615653"</f>
        <v>9781476615653</v>
      </c>
      <c r="E553" t="s">
        <v>641</v>
      </c>
      <c r="F553" s="1">
        <v>41773</v>
      </c>
      <c r="G553" t="s">
        <v>16</v>
      </c>
      <c r="J553" t="s">
        <v>735</v>
      </c>
      <c r="K553" t="s">
        <v>55</v>
      </c>
      <c r="L553" t="s">
        <v>2064</v>
      </c>
      <c r="M553" t="s">
        <v>2065</v>
      </c>
      <c r="N553" t="s">
        <v>20</v>
      </c>
    </row>
    <row r="554" spans="1:14">
      <c r="A554">
        <v>1653007</v>
      </c>
      <c r="B554" t="s">
        <v>2066</v>
      </c>
      <c r="C554" t="str">
        <f>"9781622750849"</f>
        <v>9781622750849</v>
      </c>
      <c r="D554" t="str">
        <f>"9781622750856"</f>
        <v>9781622750856</v>
      </c>
      <c r="E554" t="s">
        <v>761</v>
      </c>
      <c r="F554" s="1">
        <v>41623</v>
      </c>
      <c r="G554" t="s">
        <v>16</v>
      </c>
      <c r="H554">
        <v>1</v>
      </c>
      <c r="I554" t="s">
        <v>2067</v>
      </c>
      <c r="J554" t="s">
        <v>2068</v>
      </c>
      <c r="K554" t="s">
        <v>18</v>
      </c>
      <c r="L554" t="s">
        <v>2069</v>
      </c>
      <c r="M554" t="s">
        <v>2070</v>
      </c>
      <c r="N554" t="s">
        <v>20</v>
      </c>
    </row>
    <row r="555" spans="1:14">
      <c r="A555">
        <v>1653008</v>
      </c>
      <c r="B555" t="s">
        <v>2071</v>
      </c>
      <c r="C555" t="str">
        <f>"9781622750863"</f>
        <v>9781622750863</v>
      </c>
      <c r="D555" t="str">
        <f>"9781622750870"</f>
        <v>9781622750870</v>
      </c>
      <c r="E555" t="s">
        <v>761</v>
      </c>
      <c r="F555" s="1">
        <v>41623</v>
      </c>
      <c r="G555" t="s">
        <v>16</v>
      </c>
      <c r="H555">
        <v>1</v>
      </c>
      <c r="I555" t="s">
        <v>2067</v>
      </c>
      <c r="J555" t="s">
        <v>2072</v>
      </c>
      <c r="K555" t="s">
        <v>18</v>
      </c>
      <c r="L555" t="s">
        <v>2073</v>
      </c>
      <c r="M555" t="s">
        <v>2074</v>
      </c>
      <c r="N555" t="s">
        <v>20</v>
      </c>
    </row>
    <row r="556" spans="1:14">
      <c r="A556">
        <v>1653011</v>
      </c>
      <c r="B556" t="s">
        <v>2075</v>
      </c>
      <c r="C556" t="str">
        <f>"9781622750924"</f>
        <v>9781622750924</v>
      </c>
      <c r="D556" t="str">
        <f>"9781622750931"</f>
        <v>9781622750931</v>
      </c>
      <c r="E556" t="s">
        <v>761</v>
      </c>
      <c r="F556" s="1">
        <v>41623</v>
      </c>
      <c r="G556" t="s">
        <v>16</v>
      </c>
      <c r="H556">
        <v>1</v>
      </c>
      <c r="I556" t="s">
        <v>2067</v>
      </c>
      <c r="J556" t="s">
        <v>2068</v>
      </c>
      <c r="K556" t="s">
        <v>18</v>
      </c>
      <c r="L556">
        <v>809</v>
      </c>
      <c r="M556" t="s">
        <v>2076</v>
      </c>
      <c r="N556" t="s">
        <v>20</v>
      </c>
    </row>
    <row r="557" spans="1:14">
      <c r="A557">
        <v>1653012</v>
      </c>
      <c r="B557" t="s">
        <v>2077</v>
      </c>
      <c r="C557" t="str">
        <f>"9781622750948"</f>
        <v>9781622750948</v>
      </c>
      <c r="D557" t="str">
        <f>"9781622750955"</f>
        <v>9781622750955</v>
      </c>
      <c r="E557" t="s">
        <v>761</v>
      </c>
      <c r="F557" s="1">
        <v>41623</v>
      </c>
      <c r="G557" t="s">
        <v>16</v>
      </c>
      <c r="H557">
        <v>1</v>
      </c>
      <c r="I557" t="s">
        <v>2067</v>
      </c>
      <c r="J557" t="s">
        <v>2068</v>
      </c>
      <c r="K557" t="s">
        <v>18</v>
      </c>
      <c r="L557" t="s">
        <v>2078</v>
      </c>
      <c r="M557" t="s">
        <v>2079</v>
      </c>
      <c r="N557" t="s">
        <v>20</v>
      </c>
    </row>
    <row r="558" spans="1:14">
      <c r="A558">
        <v>1653013</v>
      </c>
      <c r="B558" t="s">
        <v>2080</v>
      </c>
      <c r="C558" t="str">
        <f>"9781622750962"</f>
        <v>9781622750962</v>
      </c>
      <c r="D558" t="str">
        <f>"9781622750979"</f>
        <v>9781622750979</v>
      </c>
      <c r="E558" t="s">
        <v>761</v>
      </c>
      <c r="F558" s="1">
        <v>41623</v>
      </c>
      <c r="G558" t="s">
        <v>16</v>
      </c>
      <c r="H558">
        <v>1</v>
      </c>
      <c r="I558" t="s">
        <v>2067</v>
      </c>
      <c r="J558" t="s">
        <v>2068</v>
      </c>
      <c r="K558" t="s">
        <v>18</v>
      </c>
      <c r="L558" t="s">
        <v>2081</v>
      </c>
      <c r="M558" t="s">
        <v>2082</v>
      </c>
      <c r="N558" t="s">
        <v>20</v>
      </c>
    </row>
    <row r="559" spans="1:14">
      <c r="A559">
        <v>1653015</v>
      </c>
      <c r="B559" t="s">
        <v>2083</v>
      </c>
      <c r="C559" t="str">
        <f>"9781622751211"</f>
        <v>9781622751211</v>
      </c>
      <c r="D559" t="str">
        <f>"9781622751228"</f>
        <v>9781622751228</v>
      </c>
      <c r="E559" t="s">
        <v>761</v>
      </c>
      <c r="F559" s="1">
        <v>41623</v>
      </c>
      <c r="G559" t="s">
        <v>16</v>
      </c>
      <c r="H559">
        <v>1</v>
      </c>
      <c r="I559" t="s">
        <v>2084</v>
      </c>
      <c r="J559" t="s">
        <v>2085</v>
      </c>
      <c r="K559" t="s">
        <v>35</v>
      </c>
      <c r="L559" t="s">
        <v>2086</v>
      </c>
      <c r="M559" t="s">
        <v>2087</v>
      </c>
      <c r="N559" t="s">
        <v>20</v>
      </c>
    </row>
    <row r="560" spans="1:14">
      <c r="A560">
        <v>1653016</v>
      </c>
      <c r="B560" t="s">
        <v>2088</v>
      </c>
      <c r="C560" t="str">
        <f>"9781622751242"</f>
        <v>9781622751242</v>
      </c>
      <c r="D560" t="str">
        <f>"9781622751259"</f>
        <v>9781622751259</v>
      </c>
      <c r="E560" t="s">
        <v>761</v>
      </c>
      <c r="F560" s="1">
        <v>41623</v>
      </c>
      <c r="G560" t="s">
        <v>16</v>
      </c>
      <c r="H560">
        <v>1</v>
      </c>
      <c r="I560" t="s">
        <v>2084</v>
      </c>
      <c r="J560" t="s">
        <v>2068</v>
      </c>
      <c r="K560" t="s">
        <v>1345</v>
      </c>
      <c r="L560" t="s">
        <v>2089</v>
      </c>
      <c r="M560" t="s">
        <v>2090</v>
      </c>
      <c r="N560" t="s">
        <v>20</v>
      </c>
    </row>
    <row r="561" spans="1:14">
      <c r="A561">
        <v>1653017</v>
      </c>
      <c r="B561" t="s">
        <v>2091</v>
      </c>
      <c r="C561" t="str">
        <f>"9781622751266"</f>
        <v>9781622751266</v>
      </c>
      <c r="D561" t="str">
        <f>"9781622751273"</f>
        <v>9781622751273</v>
      </c>
      <c r="E561" t="s">
        <v>761</v>
      </c>
      <c r="F561" s="1">
        <v>41623</v>
      </c>
      <c r="G561" t="s">
        <v>16</v>
      </c>
      <c r="H561">
        <v>1</v>
      </c>
      <c r="I561" t="s">
        <v>2084</v>
      </c>
      <c r="J561" t="s">
        <v>2068</v>
      </c>
      <c r="K561" t="s">
        <v>50</v>
      </c>
      <c r="L561">
        <v>920.72</v>
      </c>
      <c r="M561" t="s">
        <v>2092</v>
      </c>
      <c r="N561" t="s">
        <v>20</v>
      </c>
    </row>
    <row r="562" spans="1:14">
      <c r="A562">
        <v>1653018</v>
      </c>
      <c r="B562" t="s">
        <v>2093</v>
      </c>
      <c r="C562" t="str">
        <f>"9781622751297"</f>
        <v>9781622751297</v>
      </c>
      <c r="D562" t="str">
        <f>"9781622751303"</f>
        <v>9781622751303</v>
      </c>
      <c r="E562" t="s">
        <v>761</v>
      </c>
      <c r="F562" s="1">
        <v>41623</v>
      </c>
      <c r="G562" t="s">
        <v>16</v>
      </c>
      <c r="H562">
        <v>1</v>
      </c>
      <c r="I562" t="s">
        <v>2084</v>
      </c>
      <c r="J562" t="s">
        <v>2085</v>
      </c>
      <c r="K562" t="s">
        <v>35</v>
      </c>
      <c r="L562" t="s">
        <v>2094</v>
      </c>
      <c r="M562" t="s">
        <v>2095</v>
      </c>
      <c r="N562" t="s">
        <v>20</v>
      </c>
    </row>
    <row r="563" spans="1:14">
      <c r="A563">
        <v>1653019</v>
      </c>
      <c r="B563" t="s">
        <v>2096</v>
      </c>
      <c r="C563" t="str">
        <f>"9781622751327"</f>
        <v>9781622751327</v>
      </c>
      <c r="D563" t="str">
        <f>"9781622751334"</f>
        <v>9781622751334</v>
      </c>
      <c r="E563" t="s">
        <v>761</v>
      </c>
      <c r="F563" s="1">
        <v>41623</v>
      </c>
      <c r="G563" t="s">
        <v>16</v>
      </c>
      <c r="H563">
        <v>1</v>
      </c>
      <c r="I563" t="s">
        <v>2084</v>
      </c>
      <c r="J563" t="s">
        <v>2068</v>
      </c>
      <c r="K563" t="s">
        <v>138</v>
      </c>
      <c r="L563">
        <v>109.2</v>
      </c>
      <c r="M563" t="s">
        <v>2097</v>
      </c>
      <c r="N563" t="s">
        <v>20</v>
      </c>
    </row>
    <row r="564" spans="1:14">
      <c r="A564">
        <v>1653020</v>
      </c>
      <c r="B564" t="s">
        <v>2098</v>
      </c>
      <c r="C564" t="str">
        <f>"9781622751365"</f>
        <v>9781622751365</v>
      </c>
      <c r="D564" t="str">
        <f>"9781622751358"</f>
        <v>9781622751358</v>
      </c>
      <c r="E564" t="s">
        <v>761</v>
      </c>
      <c r="F564" s="1">
        <v>41623</v>
      </c>
      <c r="G564" t="s">
        <v>16</v>
      </c>
      <c r="H564">
        <v>1</v>
      </c>
      <c r="I564" t="s">
        <v>2084</v>
      </c>
      <c r="J564" t="s">
        <v>2068</v>
      </c>
      <c r="K564" t="s">
        <v>309</v>
      </c>
      <c r="L564" t="s">
        <v>2078</v>
      </c>
      <c r="M564" t="s">
        <v>2099</v>
      </c>
      <c r="N564" t="s">
        <v>20</v>
      </c>
    </row>
    <row r="565" spans="1:14">
      <c r="A565">
        <v>1653194</v>
      </c>
      <c r="B565" t="s">
        <v>2100</v>
      </c>
      <c r="C565" t="str">
        <f>"9780199338993"</f>
        <v>9780199338993</v>
      </c>
      <c r="D565" t="str">
        <f>"9780199339006"</f>
        <v>9780199339006</v>
      </c>
      <c r="E565" t="s">
        <v>703</v>
      </c>
      <c r="F565" s="1">
        <v>41760</v>
      </c>
      <c r="G565" t="s">
        <v>16</v>
      </c>
      <c r="I565" t="s">
        <v>1100</v>
      </c>
      <c r="J565" t="s">
        <v>2101</v>
      </c>
      <c r="K565" t="s">
        <v>55</v>
      </c>
      <c r="L565">
        <v>363.33097299999997</v>
      </c>
      <c r="M565" t="s">
        <v>2102</v>
      </c>
      <c r="N565" t="s">
        <v>20</v>
      </c>
    </row>
    <row r="566" spans="1:14">
      <c r="A566">
        <v>1657764</v>
      </c>
      <c r="B566" t="s">
        <v>2103</v>
      </c>
      <c r="C566" t="str">
        <f>"9781479893409"</f>
        <v>9781479893409</v>
      </c>
      <c r="D566" t="str">
        <f>"9781479874972"</f>
        <v>9781479874972</v>
      </c>
      <c r="E566" t="s">
        <v>1301</v>
      </c>
      <c r="F566" s="1">
        <v>41747</v>
      </c>
      <c r="G566" t="s">
        <v>16</v>
      </c>
      <c r="J566" t="s">
        <v>2104</v>
      </c>
      <c r="K566" t="s">
        <v>50</v>
      </c>
      <c r="L566">
        <v>973.31</v>
      </c>
      <c r="M566" t="s">
        <v>2105</v>
      </c>
      <c r="N566" t="s">
        <v>20</v>
      </c>
    </row>
    <row r="567" spans="1:14">
      <c r="A567">
        <v>1657922</v>
      </c>
      <c r="B567" t="s">
        <v>2106</v>
      </c>
      <c r="C567" t="str">
        <f>"9780826199157"</f>
        <v>9780826199157</v>
      </c>
      <c r="D567" t="str">
        <f>"9780826199164"</f>
        <v>9780826199164</v>
      </c>
      <c r="E567" t="s">
        <v>379</v>
      </c>
      <c r="F567" s="1">
        <v>41725</v>
      </c>
      <c r="G567" t="s">
        <v>16</v>
      </c>
      <c r="H567">
        <v>1</v>
      </c>
      <c r="J567" t="s">
        <v>2107</v>
      </c>
      <c r="K567" t="s">
        <v>394</v>
      </c>
      <c r="L567">
        <v>158.30000000000001</v>
      </c>
      <c r="M567" t="s">
        <v>2108</v>
      </c>
      <c r="N567" t="s">
        <v>20</v>
      </c>
    </row>
    <row r="568" spans="1:14">
      <c r="A568">
        <v>1664173</v>
      </c>
      <c r="B568" t="s">
        <v>2109</v>
      </c>
      <c r="C568" t="str">
        <f>"9780786476435"</f>
        <v>9780786476435</v>
      </c>
      <c r="D568" t="str">
        <f>"9781476614700"</f>
        <v>9781476614700</v>
      </c>
      <c r="E568" t="s">
        <v>641</v>
      </c>
      <c r="F568" s="1">
        <v>41769</v>
      </c>
      <c r="G568" t="s">
        <v>16</v>
      </c>
      <c r="H568">
        <v>2</v>
      </c>
      <c r="J568" t="s">
        <v>2110</v>
      </c>
      <c r="K568" t="s">
        <v>35</v>
      </c>
      <c r="L568" t="s">
        <v>2111</v>
      </c>
      <c r="M568" t="s">
        <v>2112</v>
      </c>
      <c r="N568" t="s">
        <v>20</v>
      </c>
    </row>
    <row r="569" spans="1:14">
      <c r="A569">
        <v>1666486</v>
      </c>
      <c r="B569" t="s">
        <v>2113</v>
      </c>
      <c r="C569" t="str">
        <f>"9781118775271"</f>
        <v>9781118775271</v>
      </c>
      <c r="D569" t="str">
        <f>"9781118775325"</f>
        <v>9781118775325</v>
      </c>
      <c r="E569" t="s">
        <v>26</v>
      </c>
      <c r="F569" s="1">
        <v>41771</v>
      </c>
      <c r="G569" t="s">
        <v>16</v>
      </c>
      <c r="H569">
        <v>1</v>
      </c>
      <c r="J569" t="s">
        <v>2114</v>
      </c>
      <c r="K569" t="s">
        <v>151</v>
      </c>
      <c r="L569">
        <v>616.85220000000004</v>
      </c>
      <c r="M569" t="s">
        <v>2115</v>
      </c>
      <c r="N569" t="s">
        <v>20</v>
      </c>
    </row>
    <row r="570" spans="1:14">
      <c r="A570">
        <v>1675122</v>
      </c>
      <c r="B570" t="s">
        <v>2116</v>
      </c>
      <c r="C570" t="str">
        <f>"9780198731313"</f>
        <v>9780198731313</v>
      </c>
      <c r="D570" t="str">
        <f>"9780191583209"</f>
        <v>9780191583209</v>
      </c>
      <c r="E570" t="s">
        <v>703</v>
      </c>
      <c r="F570" s="1">
        <v>37399</v>
      </c>
      <c r="G570" t="s">
        <v>16</v>
      </c>
      <c r="I570" t="s">
        <v>2117</v>
      </c>
      <c r="J570" t="s">
        <v>2118</v>
      </c>
      <c r="K570" t="s">
        <v>50</v>
      </c>
      <c r="L570">
        <v>941</v>
      </c>
      <c r="M570" t="s">
        <v>2119</v>
      </c>
      <c r="N570" t="s">
        <v>20</v>
      </c>
    </row>
    <row r="571" spans="1:14">
      <c r="A571">
        <v>1675123</v>
      </c>
      <c r="B571" t="s">
        <v>2120</v>
      </c>
      <c r="C571" t="str">
        <f>"9780198731535"</f>
        <v>9780198731535</v>
      </c>
      <c r="D571" t="str">
        <f>"9780191586415"</f>
        <v>9780191586415</v>
      </c>
      <c r="E571" t="s">
        <v>750</v>
      </c>
      <c r="F571" s="1">
        <v>36832</v>
      </c>
      <c r="G571" t="s">
        <v>16</v>
      </c>
      <c r="I571" t="s">
        <v>2121</v>
      </c>
      <c r="J571" t="s">
        <v>2122</v>
      </c>
      <c r="K571" t="s">
        <v>50</v>
      </c>
      <c r="L571">
        <v>938</v>
      </c>
      <c r="M571" t="s">
        <v>2123</v>
      </c>
      <c r="N571" t="s">
        <v>20</v>
      </c>
    </row>
    <row r="572" spans="1:14">
      <c r="A572">
        <v>1684790</v>
      </c>
      <c r="B572" t="s">
        <v>2124</v>
      </c>
      <c r="C572" t="str">
        <f>"9780730307808"</f>
        <v>9780730307808</v>
      </c>
      <c r="D572" t="str">
        <f>"9780730307822"</f>
        <v>9780730307822</v>
      </c>
      <c r="E572" t="s">
        <v>26</v>
      </c>
      <c r="F572" s="1">
        <v>42128</v>
      </c>
      <c r="G572" t="s">
        <v>16</v>
      </c>
      <c r="H572">
        <v>2</v>
      </c>
      <c r="J572" t="s">
        <v>2125</v>
      </c>
      <c r="K572" t="s">
        <v>29</v>
      </c>
      <c r="L572">
        <v>650.14200000000005</v>
      </c>
      <c r="M572" t="s">
        <v>2126</v>
      </c>
      <c r="N572" t="s">
        <v>20</v>
      </c>
    </row>
    <row r="573" spans="1:14">
      <c r="A573">
        <v>1687062</v>
      </c>
      <c r="B573" t="s">
        <v>2127</v>
      </c>
      <c r="C573" t="str">
        <f>"9783527321506"</f>
        <v>9783527321506</v>
      </c>
      <c r="D573" t="str">
        <f>"9783527654734"</f>
        <v>9783527654734</v>
      </c>
      <c r="E573" t="s">
        <v>26</v>
      </c>
      <c r="F573" s="1">
        <v>41799</v>
      </c>
      <c r="G573" t="s">
        <v>16</v>
      </c>
      <c r="H573">
        <v>2</v>
      </c>
      <c r="J573" t="s">
        <v>2128</v>
      </c>
      <c r="K573" t="s">
        <v>2129</v>
      </c>
      <c r="L573">
        <v>543.5</v>
      </c>
      <c r="M573" t="s">
        <v>2130</v>
      </c>
      <c r="N573" t="s">
        <v>20</v>
      </c>
    </row>
    <row r="574" spans="1:14">
      <c r="A574">
        <v>1690585</v>
      </c>
      <c r="B574" t="s">
        <v>2131</v>
      </c>
      <c r="C574" t="str">
        <f>"9781625131737"</f>
        <v>9781625131737</v>
      </c>
      <c r="D574" t="str">
        <f>"9781625131720"</f>
        <v>9781625131720</v>
      </c>
      <c r="E574" t="s">
        <v>273</v>
      </c>
      <c r="F574" s="1">
        <v>41760</v>
      </c>
      <c r="G574" t="s">
        <v>16</v>
      </c>
      <c r="H574">
        <v>1</v>
      </c>
      <c r="I574" t="s">
        <v>2131</v>
      </c>
      <c r="J574" t="s">
        <v>570</v>
      </c>
      <c r="K574" t="s">
        <v>474</v>
      </c>
      <c r="L574">
        <v>31</v>
      </c>
      <c r="M574" t="s">
        <v>2132</v>
      </c>
      <c r="N574" t="s">
        <v>20</v>
      </c>
    </row>
    <row r="575" spans="1:14">
      <c r="A575">
        <v>1711021</v>
      </c>
      <c r="B575" t="s">
        <v>2133</v>
      </c>
      <c r="C575" t="str">
        <f>"9780520281530"</f>
        <v>9780520281530</v>
      </c>
      <c r="D575" t="str">
        <f>"9780520958814"</f>
        <v>9780520958814</v>
      </c>
      <c r="E575" t="s">
        <v>2134</v>
      </c>
      <c r="F575" s="1">
        <v>41887</v>
      </c>
      <c r="G575" t="s">
        <v>16</v>
      </c>
      <c r="H575">
        <v>3</v>
      </c>
      <c r="J575" t="s">
        <v>2135</v>
      </c>
      <c r="K575" t="s">
        <v>2136</v>
      </c>
      <c r="L575" t="s">
        <v>2137</v>
      </c>
      <c r="M575" t="s">
        <v>2138</v>
      </c>
      <c r="N575" t="s">
        <v>20</v>
      </c>
    </row>
    <row r="576" spans="1:14">
      <c r="A576">
        <v>1712887</v>
      </c>
      <c r="B576" t="s">
        <v>2139</v>
      </c>
      <c r="C576" t="str">
        <f>"9781444337341"</f>
        <v>9781444337341</v>
      </c>
      <c r="D576" t="str">
        <f>"9781118834138"</f>
        <v>9781118834138</v>
      </c>
      <c r="E576" t="s">
        <v>26</v>
      </c>
      <c r="F576" s="1">
        <v>41876</v>
      </c>
      <c r="G576" t="s">
        <v>16</v>
      </c>
      <c r="H576">
        <v>1</v>
      </c>
      <c r="I576" t="s">
        <v>88</v>
      </c>
      <c r="J576" t="s">
        <v>2140</v>
      </c>
      <c r="K576" t="s">
        <v>50</v>
      </c>
      <c r="L576">
        <v>937.00400000000002</v>
      </c>
      <c r="M576" t="s">
        <v>2141</v>
      </c>
      <c r="N576" t="s">
        <v>20</v>
      </c>
    </row>
    <row r="577" spans="1:14">
      <c r="A577">
        <v>1718160</v>
      </c>
      <c r="B577" t="s">
        <v>2142</v>
      </c>
      <c r="C577" t="str">
        <f>"9781910158128"</f>
        <v>9781910158128</v>
      </c>
      <c r="D577" t="str">
        <f>"9781910158142"</f>
        <v>9781910158142</v>
      </c>
      <c r="E577" t="s">
        <v>2143</v>
      </c>
      <c r="F577" s="1">
        <v>41912</v>
      </c>
      <c r="G577" t="s">
        <v>16</v>
      </c>
      <c r="J577" t="s">
        <v>2144</v>
      </c>
      <c r="K577" t="s">
        <v>2145</v>
      </c>
      <c r="L577">
        <v>808.06637799999999</v>
      </c>
      <c r="M577" t="s">
        <v>2146</v>
      </c>
      <c r="N577" t="s">
        <v>20</v>
      </c>
    </row>
    <row r="578" spans="1:14">
      <c r="A578">
        <v>1732115</v>
      </c>
      <c r="B578" t="s">
        <v>2147</v>
      </c>
      <c r="C578" t="str">
        <f>"9781118641262"</f>
        <v>9781118641262</v>
      </c>
      <c r="D578" t="str">
        <f>"9781118641286"</f>
        <v>9781118641286</v>
      </c>
      <c r="E578" t="s">
        <v>26</v>
      </c>
      <c r="F578" s="1">
        <v>42051</v>
      </c>
      <c r="G578" t="s">
        <v>16</v>
      </c>
      <c r="H578">
        <v>1</v>
      </c>
      <c r="J578" t="s">
        <v>2148</v>
      </c>
      <c r="K578" t="s">
        <v>29</v>
      </c>
      <c r="L578">
        <v>658.40120000000002</v>
      </c>
      <c r="M578" t="s">
        <v>2149</v>
      </c>
      <c r="N578" t="s">
        <v>20</v>
      </c>
    </row>
    <row r="579" spans="1:14">
      <c r="A579">
        <v>1732497</v>
      </c>
      <c r="B579" t="s">
        <v>2150</v>
      </c>
      <c r="C579" t="str">
        <f>"9780192840301"</f>
        <v>9780192840301</v>
      </c>
      <c r="D579" t="str">
        <f>"9780191587733"</f>
        <v>9780191587733</v>
      </c>
      <c r="E579" t="s">
        <v>1283</v>
      </c>
      <c r="F579" s="1">
        <v>37798</v>
      </c>
      <c r="G579" t="s">
        <v>16</v>
      </c>
      <c r="H579">
        <v>1</v>
      </c>
      <c r="I579" t="s">
        <v>2151</v>
      </c>
      <c r="J579" t="s">
        <v>2152</v>
      </c>
      <c r="K579" t="s">
        <v>648</v>
      </c>
      <c r="L579">
        <v>391</v>
      </c>
      <c r="M579" t="s">
        <v>2153</v>
      </c>
      <c r="N579" t="s">
        <v>20</v>
      </c>
    </row>
    <row r="580" spans="1:14">
      <c r="A580">
        <v>1744970</v>
      </c>
      <c r="B580" t="s">
        <v>2154</v>
      </c>
      <c r="C580" t="str">
        <f>"9781444350036"</f>
        <v>9781444350036</v>
      </c>
      <c r="D580" t="str">
        <f>"9781118834589"</f>
        <v>9781118834589</v>
      </c>
      <c r="E580" t="s">
        <v>26</v>
      </c>
      <c r="F580" s="1">
        <v>41918</v>
      </c>
      <c r="G580" t="s">
        <v>16</v>
      </c>
      <c r="H580">
        <v>1</v>
      </c>
      <c r="I580" t="s">
        <v>228</v>
      </c>
      <c r="J580" t="s">
        <v>2155</v>
      </c>
      <c r="K580" t="s">
        <v>50</v>
      </c>
      <c r="L580">
        <v>973.91409199999998</v>
      </c>
      <c r="M580" t="s">
        <v>2156</v>
      </c>
      <c r="N580" t="s">
        <v>20</v>
      </c>
    </row>
    <row r="581" spans="1:14">
      <c r="A581">
        <v>1747371</v>
      </c>
      <c r="B581" t="s">
        <v>2157</v>
      </c>
      <c r="C581" t="str">
        <f>"9781479857722"</f>
        <v>9781479857722</v>
      </c>
      <c r="D581" t="str">
        <f>"9781479818334"</f>
        <v>9781479818334</v>
      </c>
      <c r="E581" t="s">
        <v>1301</v>
      </c>
      <c r="F581" s="1">
        <v>41866</v>
      </c>
      <c r="G581" t="s">
        <v>16</v>
      </c>
      <c r="I581" t="s">
        <v>2158</v>
      </c>
      <c r="J581" t="s">
        <v>2159</v>
      </c>
      <c r="K581" t="s">
        <v>18</v>
      </c>
      <c r="L581" t="s">
        <v>2160</v>
      </c>
      <c r="M581" t="s">
        <v>2161</v>
      </c>
      <c r="N581" t="s">
        <v>20</v>
      </c>
    </row>
    <row r="582" spans="1:14">
      <c r="A582">
        <v>1754258</v>
      </c>
      <c r="B582" t="s">
        <v>2162</v>
      </c>
      <c r="C582" t="str">
        <f>"9780813348858"</f>
        <v>9780813348858</v>
      </c>
      <c r="D582" t="str">
        <f>"9780813348865"</f>
        <v>9780813348865</v>
      </c>
      <c r="E582" t="s">
        <v>15</v>
      </c>
      <c r="F582" s="1">
        <v>42339</v>
      </c>
      <c r="G582" t="s">
        <v>16</v>
      </c>
      <c r="H582">
        <v>4</v>
      </c>
      <c r="J582" t="s">
        <v>2163</v>
      </c>
      <c r="K582" t="s">
        <v>55</v>
      </c>
      <c r="L582">
        <v>364</v>
      </c>
      <c r="M582" t="s">
        <v>2164</v>
      </c>
      <c r="N582" t="s">
        <v>20</v>
      </c>
    </row>
    <row r="583" spans="1:14">
      <c r="A583">
        <v>1757960</v>
      </c>
      <c r="B583" t="s">
        <v>2165</v>
      </c>
      <c r="C583" t="str">
        <f>"9781118780794"</f>
        <v>9781118780794</v>
      </c>
      <c r="D583" t="str">
        <f>"9781118780770"</f>
        <v>9781118780770</v>
      </c>
      <c r="E583" t="s">
        <v>26</v>
      </c>
      <c r="F583" s="1">
        <v>41918</v>
      </c>
      <c r="G583" t="s">
        <v>16</v>
      </c>
      <c r="H583">
        <v>1</v>
      </c>
      <c r="I583" t="s">
        <v>2166</v>
      </c>
      <c r="J583" t="s">
        <v>2167</v>
      </c>
      <c r="K583" t="s">
        <v>151</v>
      </c>
      <c r="L583">
        <v>616.85270000000003</v>
      </c>
      <c r="M583" t="s">
        <v>2168</v>
      </c>
      <c r="N583" t="s">
        <v>20</v>
      </c>
    </row>
    <row r="584" spans="1:14">
      <c r="A584">
        <v>1765081</v>
      </c>
      <c r="B584" t="s">
        <v>2169</v>
      </c>
      <c r="C584" t="str">
        <f>"9780470670446"</f>
        <v>9780470670446</v>
      </c>
      <c r="D584" t="str">
        <f>"9781118715628"</f>
        <v>9781118715628</v>
      </c>
      <c r="E584" t="s">
        <v>26</v>
      </c>
      <c r="F584" s="1">
        <v>41918</v>
      </c>
      <c r="G584" t="s">
        <v>16</v>
      </c>
      <c r="H584">
        <v>1</v>
      </c>
      <c r="J584" t="s">
        <v>2170</v>
      </c>
      <c r="K584" t="s">
        <v>155</v>
      </c>
      <c r="L584" t="s">
        <v>2171</v>
      </c>
      <c r="M584" t="s">
        <v>2172</v>
      </c>
      <c r="N584" t="s">
        <v>20</v>
      </c>
    </row>
    <row r="585" spans="1:14">
      <c r="A585">
        <v>1767025</v>
      </c>
      <c r="B585" t="s">
        <v>2173</v>
      </c>
      <c r="C585" t="str">
        <f>"9781118585344"</f>
        <v>9781118585344</v>
      </c>
      <c r="D585" t="str">
        <f>"9781118588369"</f>
        <v>9781118588369</v>
      </c>
      <c r="E585" t="s">
        <v>26</v>
      </c>
      <c r="F585" s="1">
        <v>41953</v>
      </c>
      <c r="G585" t="s">
        <v>16</v>
      </c>
      <c r="H585">
        <v>1</v>
      </c>
      <c r="I585" t="s">
        <v>2174</v>
      </c>
      <c r="J585" t="s">
        <v>2175</v>
      </c>
      <c r="K585" t="s">
        <v>35</v>
      </c>
      <c r="L585">
        <v>791.43023309199998</v>
      </c>
      <c r="M585" t="s">
        <v>2176</v>
      </c>
      <c r="N585" t="s">
        <v>20</v>
      </c>
    </row>
    <row r="586" spans="1:14">
      <c r="A586">
        <v>1770453</v>
      </c>
      <c r="B586" t="s">
        <v>2177</v>
      </c>
      <c r="C586" t="str">
        <f>"9789042038554"</f>
        <v>9789042038554</v>
      </c>
      <c r="D586" t="str">
        <f>"9789401210973"</f>
        <v>9789401210973</v>
      </c>
      <c r="E586" t="s">
        <v>468</v>
      </c>
      <c r="F586" s="1">
        <v>41640</v>
      </c>
      <c r="G586" t="s">
        <v>16</v>
      </c>
      <c r="I586" t="s">
        <v>2178</v>
      </c>
      <c r="J586" t="s">
        <v>2179</v>
      </c>
      <c r="K586" t="s">
        <v>1224</v>
      </c>
      <c r="L586">
        <v>303.48200000000003</v>
      </c>
      <c r="M586" t="s">
        <v>2180</v>
      </c>
      <c r="N586" t="s">
        <v>20</v>
      </c>
    </row>
    <row r="587" spans="1:14">
      <c r="A587">
        <v>1770684</v>
      </c>
      <c r="B587" t="s">
        <v>2181</v>
      </c>
      <c r="C587" t="str">
        <f>"9781118635957"</f>
        <v>9781118635957</v>
      </c>
      <c r="D587" t="str">
        <f>"9781118635964"</f>
        <v>9781118635964</v>
      </c>
      <c r="E587" t="s">
        <v>26</v>
      </c>
      <c r="F587" s="1">
        <v>41957</v>
      </c>
      <c r="G587" t="s">
        <v>16</v>
      </c>
      <c r="H587">
        <v>3</v>
      </c>
      <c r="J587" t="s">
        <v>2182</v>
      </c>
      <c r="K587" t="s">
        <v>18</v>
      </c>
      <c r="L587">
        <v>808.02700000000004</v>
      </c>
      <c r="M587" t="s">
        <v>2183</v>
      </c>
      <c r="N587" t="s">
        <v>20</v>
      </c>
    </row>
    <row r="588" spans="1:14">
      <c r="A588">
        <v>1770688</v>
      </c>
      <c r="B588" t="s">
        <v>2184</v>
      </c>
      <c r="C588" t="str">
        <f>"9781444336016"</f>
        <v>9781444336016</v>
      </c>
      <c r="D588" t="str">
        <f>"9781118878187"</f>
        <v>9781118878187</v>
      </c>
      <c r="E588" t="s">
        <v>26</v>
      </c>
      <c r="F588" s="1">
        <v>41960</v>
      </c>
      <c r="G588" t="s">
        <v>16</v>
      </c>
      <c r="H588">
        <v>1</v>
      </c>
      <c r="I588" t="s">
        <v>88</v>
      </c>
      <c r="J588" t="s">
        <v>2185</v>
      </c>
      <c r="K588" t="s">
        <v>166</v>
      </c>
      <c r="L588">
        <v>320.93799999999999</v>
      </c>
      <c r="M588" t="s">
        <v>2186</v>
      </c>
      <c r="N588" t="s">
        <v>20</v>
      </c>
    </row>
    <row r="589" spans="1:14">
      <c r="A589">
        <v>1777818</v>
      </c>
      <c r="B589" t="s">
        <v>2187</v>
      </c>
      <c r="C589" t="str">
        <f>"9781118339015"</f>
        <v>9781118339015</v>
      </c>
      <c r="D589" t="str">
        <f>"9781118338971"</f>
        <v>9781118338971</v>
      </c>
      <c r="E589" t="s">
        <v>26</v>
      </c>
      <c r="F589" s="1">
        <v>41960</v>
      </c>
      <c r="G589" t="s">
        <v>16</v>
      </c>
      <c r="H589">
        <v>1</v>
      </c>
      <c r="I589" t="s">
        <v>88</v>
      </c>
      <c r="J589" t="s">
        <v>2188</v>
      </c>
      <c r="K589" t="s">
        <v>50</v>
      </c>
      <c r="L589" t="s">
        <v>2189</v>
      </c>
      <c r="M589" t="s">
        <v>2190</v>
      </c>
      <c r="N589" t="s">
        <v>20</v>
      </c>
    </row>
    <row r="590" spans="1:14">
      <c r="A590">
        <v>1779115</v>
      </c>
      <c r="B590" t="s">
        <v>2191</v>
      </c>
      <c r="C590" t="str">
        <f>"9781622753536"</f>
        <v>9781622753536</v>
      </c>
      <c r="D590" t="str">
        <f>"9781622753543"</f>
        <v>9781622753543</v>
      </c>
      <c r="E590" t="s">
        <v>761</v>
      </c>
      <c r="F590" s="1">
        <v>41835</v>
      </c>
      <c r="G590" t="s">
        <v>16</v>
      </c>
      <c r="H590">
        <v>1</v>
      </c>
      <c r="I590" t="s">
        <v>2192</v>
      </c>
      <c r="J590" t="s">
        <v>2193</v>
      </c>
      <c r="K590" t="s">
        <v>479</v>
      </c>
      <c r="L590" t="s">
        <v>2194</v>
      </c>
      <c r="M590" t="s">
        <v>2195</v>
      </c>
      <c r="N590" t="s">
        <v>20</v>
      </c>
    </row>
    <row r="591" spans="1:14">
      <c r="A591">
        <v>1779117</v>
      </c>
      <c r="B591" t="s">
        <v>2196</v>
      </c>
      <c r="C591" t="str">
        <f>"9781622753628"</f>
        <v>9781622753628</v>
      </c>
      <c r="D591" t="str">
        <f>"9781622753635"</f>
        <v>9781622753635</v>
      </c>
      <c r="E591" t="s">
        <v>761</v>
      </c>
      <c r="F591" s="1">
        <v>41835</v>
      </c>
      <c r="G591" t="s">
        <v>16</v>
      </c>
      <c r="H591">
        <v>1</v>
      </c>
      <c r="I591" t="s">
        <v>2192</v>
      </c>
      <c r="J591" t="s">
        <v>2197</v>
      </c>
      <c r="K591" t="s">
        <v>55</v>
      </c>
      <c r="L591">
        <v>305.8</v>
      </c>
      <c r="M591" t="s">
        <v>2198</v>
      </c>
      <c r="N591" t="s">
        <v>20</v>
      </c>
    </row>
    <row r="592" spans="1:14">
      <c r="A592">
        <v>1779118</v>
      </c>
      <c r="B592" t="s">
        <v>2199</v>
      </c>
      <c r="C592" t="str">
        <f>"9781622753598"</f>
        <v>9781622753598</v>
      </c>
      <c r="D592" t="str">
        <f>"9781622753604"</f>
        <v>9781622753604</v>
      </c>
      <c r="E592" t="s">
        <v>761</v>
      </c>
      <c r="F592" s="1">
        <v>41835</v>
      </c>
      <c r="G592" t="s">
        <v>16</v>
      </c>
      <c r="H592">
        <v>1</v>
      </c>
      <c r="I592" t="s">
        <v>2192</v>
      </c>
      <c r="J592" t="s">
        <v>2200</v>
      </c>
      <c r="K592" t="s">
        <v>552</v>
      </c>
      <c r="L592" t="s">
        <v>2201</v>
      </c>
      <c r="M592" t="s">
        <v>2202</v>
      </c>
      <c r="N592" t="s">
        <v>20</v>
      </c>
    </row>
    <row r="593" spans="1:14">
      <c r="A593">
        <v>1779120</v>
      </c>
      <c r="B593" t="s">
        <v>2203</v>
      </c>
      <c r="C593" t="str">
        <f>"9781622753567"</f>
        <v>9781622753567</v>
      </c>
      <c r="D593" t="str">
        <f>"9781622753574"</f>
        <v>9781622753574</v>
      </c>
      <c r="E593" t="s">
        <v>761</v>
      </c>
      <c r="F593" s="1">
        <v>41835</v>
      </c>
      <c r="G593" t="s">
        <v>16</v>
      </c>
      <c r="H593">
        <v>1</v>
      </c>
      <c r="I593" t="s">
        <v>2192</v>
      </c>
      <c r="J593" t="s">
        <v>2204</v>
      </c>
      <c r="K593" t="s">
        <v>166</v>
      </c>
      <c r="L593">
        <v>321.8</v>
      </c>
      <c r="M593" t="s">
        <v>2205</v>
      </c>
      <c r="N593" t="s">
        <v>20</v>
      </c>
    </row>
    <row r="594" spans="1:14">
      <c r="A594">
        <v>1779124</v>
      </c>
      <c r="B594" t="s">
        <v>2206</v>
      </c>
      <c r="C594" t="str">
        <f>"9781622753352"</f>
        <v>9781622753352</v>
      </c>
      <c r="D594" t="str">
        <f>"9781622753376"</f>
        <v>9781622753376</v>
      </c>
      <c r="E594" t="s">
        <v>761</v>
      </c>
      <c r="F594" s="1">
        <v>41835</v>
      </c>
      <c r="G594" t="s">
        <v>16</v>
      </c>
      <c r="H594">
        <v>1</v>
      </c>
      <c r="I594" t="s">
        <v>2192</v>
      </c>
      <c r="J594" t="s">
        <v>2207</v>
      </c>
      <c r="K594" t="s">
        <v>479</v>
      </c>
      <c r="L594">
        <v>335</v>
      </c>
      <c r="M594" t="s">
        <v>2208</v>
      </c>
      <c r="N594" t="s">
        <v>20</v>
      </c>
    </row>
    <row r="595" spans="1:14">
      <c r="A595">
        <v>1780089</v>
      </c>
      <c r="B595" t="s">
        <v>2209</v>
      </c>
      <c r="C595" t="str">
        <f>"9780199374083"</f>
        <v>9780199374083</v>
      </c>
      <c r="D595" t="str">
        <f>"9780199374106"</f>
        <v>9780199374106</v>
      </c>
      <c r="E595" t="s">
        <v>703</v>
      </c>
      <c r="F595" s="1">
        <v>41925</v>
      </c>
      <c r="G595" t="s">
        <v>16</v>
      </c>
      <c r="I595" t="s">
        <v>1100</v>
      </c>
      <c r="J595" t="s">
        <v>2210</v>
      </c>
      <c r="K595" t="s">
        <v>408</v>
      </c>
      <c r="L595">
        <v>378.00972999999999</v>
      </c>
      <c r="M595" t="s">
        <v>2211</v>
      </c>
      <c r="N595" t="s">
        <v>20</v>
      </c>
    </row>
    <row r="596" spans="1:14">
      <c r="A596">
        <v>1780104</v>
      </c>
      <c r="B596" t="s">
        <v>2212</v>
      </c>
      <c r="C596" t="str">
        <f>"9780813562476"</f>
        <v>9780813562476</v>
      </c>
      <c r="D596" t="str">
        <f>"9780813562483"</f>
        <v>9780813562483</v>
      </c>
      <c r="E596" t="s">
        <v>2213</v>
      </c>
      <c r="F596" s="1">
        <v>41879</v>
      </c>
      <c r="G596" t="s">
        <v>16</v>
      </c>
      <c r="J596" t="s">
        <v>2214</v>
      </c>
      <c r="K596" t="s">
        <v>632</v>
      </c>
      <c r="L596">
        <v>362.101</v>
      </c>
      <c r="M596" t="s">
        <v>2215</v>
      </c>
      <c r="N596" t="s">
        <v>20</v>
      </c>
    </row>
    <row r="597" spans="1:14">
      <c r="A597">
        <v>1781840</v>
      </c>
      <c r="B597" t="s">
        <v>2216</v>
      </c>
      <c r="C597" t="str">
        <f>"9781118740682"</f>
        <v>9781118740682</v>
      </c>
      <c r="D597" t="str">
        <f>"9781118741924"</f>
        <v>9781118741924</v>
      </c>
      <c r="E597" t="s">
        <v>26</v>
      </c>
      <c r="F597" s="1">
        <v>41960</v>
      </c>
      <c r="G597" t="s">
        <v>16</v>
      </c>
      <c r="H597">
        <v>3</v>
      </c>
      <c r="I597" t="s">
        <v>2166</v>
      </c>
      <c r="J597" t="s">
        <v>2217</v>
      </c>
      <c r="K597" t="s">
        <v>155</v>
      </c>
      <c r="L597" t="s">
        <v>2218</v>
      </c>
      <c r="M597" t="s">
        <v>2219</v>
      </c>
      <c r="N597" t="s">
        <v>20</v>
      </c>
    </row>
    <row r="598" spans="1:14">
      <c r="A598">
        <v>1808166</v>
      </c>
      <c r="B598" t="s">
        <v>2220</v>
      </c>
      <c r="C598" t="str">
        <f>"9781480480759"</f>
        <v>9781480480759</v>
      </c>
      <c r="D598" t="str">
        <f>"9781480403604"</f>
        <v>9781480403604</v>
      </c>
      <c r="E598" t="s">
        <v>2221</v>
      </c>
      <c r="F598" s="1">
        <v>41247</v>
      </c>
      <c r="G598" t="s">
        <v>16</v>
      </c>
      <c r="J598" t="s">
        <v>2222</v>
      </c>
      <c r="K598" t="s">
        <v>94</v>
      </c>
      <c r="L598">
        <v>292.13029999999998</v>
      </c>
      <c r="M598" t="s">
        <v>2223</v>
      </c>
      <c r="N598" t="s">
        <v>20</v>
      </c>
    </row>
    <row r="599" spans="1:14">
      <c r="A599">
        <v>1811476</v>
      </c>
      <c r="B599" t="s">
        <v>2224</v>
      </c>
      <c r="C599" t="str">
        <f>"9780199368426"</f>
        <v>9780199368426</v>
      </c>
      <c r="D599" t="str">
        <f>"9780199368440"</f>
        <v>9780199368440</v>
      </c>
      <c r="E599" t="s">
        <v>703</v>
      </c>
      <c r="F599" s="1">
        <v>41978</v>
      </c>
      <c r="G599" t="s">
        <v>16</v>
      </c>
      <c r="I599" t="s">
        <v>1100</v>
      </c>
      <c r="J599" t="s">
        <v>2225</v>
      </c>
      <c r="K599" t="s">
        <v>2226</v>
      </c>
      <c r="L599">
        <v>641.29999999999995</v>
      </c>
      <c r="M599" t="s">
        <v>2227</v>
      </c>
      <c r="N599" t="s">
        <v>20</v>
      </c>
    </row>
    <row r="600" spans="1:14">
      <c r="A600">
        <v>1813354</v>
      </c>
      <c r="B600" t="s">
        <v>2228</v>
      </c>
      <c r="C600" t="str">
        <f>"9781118627945"</f>
        <v>9781118627945</v>
      </c>
      <c r="D600" t="str">
        <f>"9781118944028"</f>
        <v>9781118944028</v>
      </c>
      <c r="E600" t="s">
        <v>26</v>
      </c>
      <c r="F600" s="1">
        <v>41946</v>
      </c>
      <c r="G600" t="s">
        <v>16</v>
      </c>
      <c r="H600">
        <v>1</v>
      </c>
      <c r="J600" t="s">
        <v>2229</v>
      </c>
      <c r="K600" t="s">
        <v>758</v>
      </c>
      <c r="L600" t="s">
        <v>2230</v>
      </c>
      <c r="M600" t="s">
        <v>2231</v>
      </c>
      <c r="N600" t="s">
        <v>20</v>
      </c>
    </row>
    <row r="601" spans="1:14">
      <c r="A601">
        <v>1814984</v>
      </c>
      <c r="B601" t="s">
        <v>2232</v>
      </c>
      <c r="C601" t="str">
        <f>"9780199996681"</f>
        <v>9780199996681</v>
      </c>
      <c r="D601" t="str">
        <f>"9780199996704"</f>
        <v>9780199996704</v>
      </c>
      <c r="E601" t="s">
        <v>703</v>
      </c>
      <c r="F601" s="1">
        <v>41946</v>
      </c>
      <c r="G601" t="s">
        <v>16</v>
      </c>
      <c r="I601" t="s">
        <v>1100</v>
      </c>
      <c r="J601" t="s">
        <v>2233</v>
      </c>
      <c r="K601" t="s">
        <v>2234</v>
      </c>
      <c r="L601">
        <v>577.72699999999998</v>
      </c>
      <c r="M601" t="s">
        <v>2235</v>
      </c>
      <c r="N601" t="s">
        <v>20</v>
      </c>
    </row>
    <row r="602" spans="1:14">
      <c r="A602">
        <v>1819338</v>
      </c>
      <c r="B602" t="s">
        <v>2236</v>
      </c>
      <c r="C602" t="str">
        <f>"9780470659625"</f>
        <v>9780470659625</v>
      </c>
      <c r="D602" t="str">
        <f>"9781118592595"</f>
        <v>9781118592595</v>
      </c>
      <c r="E602" t="s">
        <v>26</v>
      </c>
      <c r="F602" s="1">
        <v>41988</v>
      </c>
      <c r="G602" t="s">
        <v>16</v>
      </c>
      <c r="H602">
        <v>6</v>
      </c>
      <c r="I602" t="s">
        <v>2166</v>
      </c>
      <c r="J602" t="s">
        <v>2237</v>
      </c>
      <c r="K602" t="s">
        <v>155</v>
      </c>
      <c r="L602" t="s">
        <v>2238</v>
      </c>
      <c r="M602" t="s">
        <v>2239</v>
      </c>
      <c r="N602" t="s">
        <v>20</v>
      </c>
    </row>
    <row r="603" spans="1:14">
      <c r="A603">
        <v>1824307</v>
      </c>
      <c r="B603" t="s">
        <v>2240</v>
      </c>
      <c r="C603" t="str">
        <f>"9781118719756"</f>
        <v>9781118719756</v>
      </c>
      <c r="D603" t="str">
        <f>"9781118719749"</f>
        <v>9781118719749</v>
      </c>
      <c r="E603" t="s">
        <v>26</v>
      </c>
      <c r="F603" s="1">
        <v>42004</v>
      </c>
      <c r="G603" t="s">
        <v>16</v>
      </c>
      <c r="H603">
        <v>1</v>
      </c>
      <c r="I603" t="s">
        <v>2166</v>
      </c>
      <c r="J603" t="s">
        <v>2241</v>
      </c>
      <c r="K603" t="s">
        <v>155</v>
      </c>
      <c r="L603">
        <v>616.02800000000002</v>
      </c>
      <c r="M603" t="s">
        <v>2242</v>
      </c>
      <c r="N603" t="s">
        <v>20</v>
      </c>
    </row>
    <row r="604" spans="1:14">
      <c r="A604">
        <v>1832443</v>
      </c>
      <c r="B604" t="s">
        <v>2243</v>
      </c>
      <c r="C604" t="str">
        <f>"9781602607675"</f>
        <v>9781602607675</v>
      </c>
      <c r="D604" t="str">
        <f>"9781607422891"</f>
        <v>9781607422891</v>
      </c>
      <c r="E604" t="s">
        <v>2244</v>
      </c>
      <c r="F604" s="1">
        <v>40695</v>
      </c>
      <c r="G604" t="s">
        <v>16</v>
      </c>
      <c r="J604" t="s">
        <v>2245</v>
      </c>
      <c r="K604" t="s">
        <v>94</v>
      </c>
      <c r="L604">
        <v>270</v>
      </c>
      <c r="M604" t="s">
        <v>2246</v>
      </c>
      <c r="N604" t="s">
        <v>20</v>
      </c>
    </row>
    <row r="605" spans="1:14">
      <c r="A605">
        <v>1876193</v>
      </c>
      <c r="B605" t="s">
        <v>2247</v>
      </c>
      <c r="C605" t="str">
        <f>"9781780671635"</f>
        <v>9781780671635</v>
      </c>
      <c r="D605" t="str">
        <f>"9781780676371"</f>
        <v>9781780676371</v>
      </c>
      <c r="E605" t="s">
        <v>2248</v>
      </c>
      <c r="F605" s="1">
        <v>41890</v>
      </c>
      <c r="G605" t="s">
        <v>16</v>
      </c>
      <c r="H605">
        <v>1</v>
      </c>
      <c r="J605" t="s">
        <v>2249</v>
      </c>
      <c r="K605" t="s">
        <v>2250</v>
      </c>
      <c r="L605">
        <v>720.9</v>
      </c>
      <c r="M605" t="s">
        <v>2251</v>
      </c>
      <c r="N605" t="s">
        <v>20</v>
      </c>
    </row>
    <row r="606" spans="1:14">
      <c r="A606">
        <v>1877219</v>
      </c>
      <c r="B606" t="s">
        <v>2252</v>
      </c>
      <c r="C606" t="str">
        <f>"9789004284029"</f>
        <v>9789004284029</v>
      </c>
      <c r="D606" t="str">
        <f>"9789004284104"</f>
        <v>9789004284104</v>
      </c>
      <c r="E606" t="s">
        <v>468</v>
      </c>
      <c r="F606" s="1">
        <v>41971</v>
      </c>
      <c r="G606" t="s">
        <v>16</v>
      </c>
      <c r="H606">
        <v>1</v>
      </c>
      <c r="I606" t="s">
        <v>2253</v>
      </c>
      <c r="J606" t="s">
        <v>2254</v>
      </c>
      <c r="K606" t="s">
        <v>50</v>
      </c>
      <c r="L606" t="s">
        <v>2255</v>
      </c>
      <c r="M606" t="s">
        <v>2256</v>
      </c>
      <c r="N606" t="s">
        <v>20</v>
      </c>
    </row>
    <row r="607" spans="1:14">
      <c r="A607">
        <v>1882167</v>
      </c>
      <c r="B607" t="s">
        <v>2257</v>
      </c>
      <c r="C607" t="str">
        <f>"9781556203206"</f>
        <v>9781556203206</v>
      </c>
      <c r="D607" t="str">
        <f>"9781119026501"</f>
        <v>9781119026501</v>
      </c>
      <c r="E607" t="s">
        <v>2258</v>
      </c>
      <c r="F607" s="1">
        <v>41671</v>
      </c>
      <c r="G607" t="s">
        <v>16</v>
      </c>
      <c r="H607">
        <v>1</v>
      </c>
      <c r="J607" t="s">
        <v>2259</v>
      </c>
      <c r="K607" t="s">
        <v>151</v>
      </c>
      <c r="L607">
        <v>616.89</v>
      </c>
      <c r="M607" t="s">
        <v>2260</v>
      </c>
      <c r="N607" t="s">
        <v>20</v>
      </c>
    </row>
    <row r="608" spans="1:14">
      <c r="A608">
        <v>1895039</v>
      </c>
      <c r="B608" t="s">
        <v>2261</v>
      </c>
      <c r="C608" t="str">
        <f>"9781405155069"</f>
        <v>9781405155069</v>
      </c>
      <c r="D608" t="str">
        <f>"9781118335741"</f>
        <v>9781118335741</v>
      </c>
      <c r="E608" t="s">
        <v>26</v>
      </c>
      <c r="F608" s="1">
        <v>42128</v>
      </c>
      <c r="G608" t="s">
        <v>16</v>
      </c>
      <c r="H608">
        <v>1</v>
      </c>
      <c r="J608" t="s">
        <v>2262</v>
      </c>
      <c r="K608" t="s">
        <v>603</v>
      </c>
      <c r="L608" t="s">
        <v>2263</v>
      </c>
      <c r="M608" t="s">
        <v>2264</v>
      </c>
      <c r="N608" t="s">
        <v>20</v>
      </c>
    </row>
    <row r="609" spans="1:14">
      <c r="A609">
        <v>1895085</v>
      </c>
      <c r="B609" t="s">
        <v>2265</v>
      </c>
      <c r="C609" t="str">
        <f>"9781118772027"</f>
        <v>9781118772027</v>
      </c>
      <c r="D609" t="str">
        <f>"9781118772010"</f>
        <v>9781118772010</v>
      </c>
      <c r="E609" t="s">
        <v>26</v>
      </c>
      <c r="F609" s="1">
        <v>42157</v>
      </c>
      <c r="G609" t="s">
        <v>16</v>
      </c>
      <c r="H609">
        <v>1</v>
      </c>
      <c r="J609" t="s">
        <v>2266</v>
      </c>
      <c r="K609" t="s">
        <v>55</v>
      </c>
      <c r="L609">
        <v>303.48340000000002</v>
      </c>
      <c r="M609" t="s">
        <v>2267</v>
      </c>
      <c r="N609" t="s">
        <v>20</v>
      </c>
    </row>
    <row r="610" spans="1:14">
      <c r="A610">
        <v>1895466</v>
      </c>
      <c r="B610" t="s">
        <v>2268</v>
      </c>
      <c r="C610" t="str">
        <f>"9781118486665"</f>
        <v>9781118486665</v>
      </c>
      <c r="D610" t="str">
        <f>"9781118486641"</f>
        <v>9781118486641</v>
      </c>
      <c r="E610" t="s">
        <v>26</v>
      </c>
      <c r="F610" s="1">
        <v>42289</v>
      </c>
      <c r="G610" t="s">
        <v>16</v>
      </c>
      <c r="H610">
        <v>1</v>
      </c>
      <c r="I610" t="s">
        <v>667</v>
      </c>
      <c r="J610" t="s">
        <v>2269</v>
      </c>
      <c r="K610" t="s">
        <v>2270</v>
      </c>
      <c r="L610" t="s">
        <v>2271</v>
      </c>
      <c r="M610" t="s">
        <v>2272</v>
      </c>
      <c r="N610" t="s">
        <v>20</v>
      </c>
    </row>
    <row r="611" spans="1:14">
      <c r="A611">
        <v>1895479</v>
      </c>
      <c r="B611" t="s">
        <v>2273</v>
      </c>
      <c r="C611" t="str">
        <f>"9781118533406"</f>
        <v>9781118533406</v>
      </c>
      <c r="D611" t="str">
        <f>"9781118533475"</f>
        <v>9781118533475</v>
      </c>
      <c r="E611" t="s">
        <v>26</v>
      </c>
      <c r="F611" s="1">
        <v>42170</v>
      </c>
      <c r="G611" t="s">
        <v>16</v>
      </c>
      <c r="H611">
        <v>1</v>
      </c>
      <c r="I611" t="s">
        <v>384</v>
      </c>
      <c r="J611" t="s">
        <v>2274</v>
      </c>
      <c r="K611" t="s">
        <v>386</v>
      </c>
      <c r="L611" t="s">
        <v>2275</v>
      </c>
      <c r="M611" t="s">
        <v>2276</v>
      </c>
      <c r="N611" t="s">
        <v>20</v>
      </c>
    </row>
    <row r="612" spans="1:14">
      <c r="A612">
        <v>1895505</v>
      </c>
      <c r="B612" t="s">
        <v>2277</v>
      </c>
      <c r="C612" t="str">
        <f>"9780470655047"</f>
        <v>9780470655047</v>
      </c>
      <c r="D612" t="str">
        <f>"9781118607923"</f>
        <v>9781118607923</v>
      </c>
      <c r="E612" t="s">
        <v>26</v>
      </c>
      <c r="F612" s="1">
        <v>42114</v>
      </c>
      <c r="G612" t="s">
        <v>16</v>
      </c>
      <c r="H612">
        <v>1</v>
      </c>
      <c r="I612" t="s">
        <v>228</v>
      </c>
      <c r="J612" t="s">
        <v>2278</v>
      </c>
      <c r="K612" t="s">
        <v>50</v>
      </c>
      <c r="L612">
        <v>973.92709200000002</v>
      </c>
      <c r="M612" t="s">
        <v>2279</v>
      </c>
      <c r="N612" t="s">
        <v>20</v>
      </c>
    </row>
    <row r="613" spans="1:14">
      <c r="A613">
        <v>1895603</v>
      </c>
      <c r="B613" t="s">
        <v>2280</v>
      </c>
      <c r="C613" t="str">
        <f>"9781118789247"</f>
        <v>9781118789247</v>
      </c>
      <c r="D613" t="str">
        <f>"9781118789315"</f>
        <v>9781118789315</v>
      </c>
      <c r="E613" t="s">
        <v>26</v>
      </c>
      <c r="F613" s="1">
        <v>42128</v>
      </c>
      <c r="G613" t="s">
        <v>16</v>
      </c>
      <c r="H613">
        <v>1</v>
      </c>
      <c r="J613" t="s">
        <v>2281</v>
      </c>
      <c r="K613" t="s">
        <v>55</v>
      </c>
      <c r="L613" t="s">
        <v>2282</v>
      </c>
      <c r="M613" t="s">
        <v>2283</v>
      </c>
      <c r="N613" t="s">
        <v>20</v>
      </c>
    </row>
    <row r="614" spans="1:14">
      <c r="A614">
        <v>1895648</v>
      </c>
      <c r="B614" t="s">
        <v>2284</v>
      </c>
      <c r="C614" t="str">
        <f>"9781118841488"</f>
        <v>9781118841488</v>
      </c>
      <c r="D614" t="str">
        <f>"9781118841631"</f>
        <v>9781118841631</v>
      </c>
      <c r="E614" t="s">
        <v>26</v>
      </c>
      <c r="F614" s="1">
        <v>42052</v>
      </c>
      <c r="G614" t="s">
        <v>16</v>
      </c>
      <c r="H614">
        <v>1</v>
      </c>
      <c r="I614" t="s">
        <v>2285</v>
      </c>
      <c r="J614" t="s">
        <v>2286</v>
      </c>
      <c r="K614" t="s">
        <v>29</v>
      </c>
      <c r="L614" t="s">
        <v>2287</v>
      </c>
      <c r="M614" t="s">
        <v>2288</v>
      </c>
      <c r="N614" t="s">
        <v>20</v>
      </c>
    </row>
    <row r="615" spans="1:14">
      <c r="A615">
        <v>1895704</v>
      </c>
      <c r="B615" t="s">
        <v>2289</v>
      </c>
      <c r="C615" t="str">
        <f>"9780470671641"</f>
        <v>9780470671641</v>
      </c>
      <c r="D615" t="str">
        <f>"9781118884447"</f>
        <v>9781118884447</v>
      </c>
      <c r="E615" t="s">
        <v>26</v>
      </c>
      <c r="F615" s="1">
        <v>42079</v>
      </c>
      <c r="G615" t="s">
        <v>16</v>
      </c>
      <c r="H615">
        <v>1</v>
      </c>
      <c r="J615" t="s">
        <v>2290</v>
      </c>
      <c r="K615" t="s">
        <v>2291</v>
      </c>
      <c r="L615" t="s">
        <v>2292</v>
      </c>
      <c r="M615" t="s">
        <v>2293</v>
      </c>
      <c r="N615" t="s">
        <v>20</v>
      </c>
    </row>
    <row r="616" spans="1:14">
      <c r="A616">
        <v>1895705</v>
      </c>
      <c r="B616" t="s">
        <v>2294</v>
      </c>
      <c r="C616" t="str">
        <f>"9781444350005"</f>
        <v>9781444350005</v>
      </c>
      <c r="D616" t="str">
        <f>"9781118885888"</f>
        <v>9781118885888</v>
      </c>
      <c r="E616" t="s">
        <v>26</v>
      </c>
      <c r="F616" s="1">
        <v>42170</v>
      </c>
      <c r="G616" t="s">
        <v>16</v>
      </c>
      <c r="H616">
        <v>1</v>
      </c>
      <c r="I616" t="s">
        <v>88</v>
      </c>
      <c r="J616" t="s">
        <v>2295</v>
      </c>
      <c r="K616" t="s">
        <v>94</v>
      </c>
      <c r="L616">
        <v>200.9</v>
      </c>
      <c r="M616" t="s">
        <v>2296</v>
      </c>
      <c r="N616" t="s">
        <v>20</v>
      </c>
    </row>
    <row r="617" spans="1:14">
      <c r="A617">
        <v>1895798</v>
      </c>
      <c r="B617" t="s">
        <v>2297</v>
      </c>
      <c r="C617" t="str">
        <f>"9781118136775"</f>
        <v>9781118136775</v>
      </c>
      <c r="D617" t="str">
        <f>"9781118952979"</f>
        <v>9781118952979</v>
      </c>
      <c r="E617" t="s">
        <v>26</v>
      </c>
      <c r="F617" s="1">
        <v>42100</v>
      </c>
      <c r="G617" t="s">
        <v>16</v>
      </c>
      <c r="H617">
        <v>7</v>
      </c>
      <c r="J617" t="s">
        <v>2298</v>
      </c>
      <c r="K617" t="s">
        <v>394</v>
      </c>
      <c r="L617">
        <v>155.4</v>
      </c>
      <c r="M617" t="s">
        <v>2299</v>
      </c>
      <c r="N617" t="s">
        <v>20</v>
      </c>
    </row>
    <row r="618" spans="1:14">
      <c r="A618">
        <v>1895801</v>
      </c>
      <c r="B618" t="s">
        <v>2300</v>
      </c>
      <c r="C618" t="str">
        <f>"9781118136782"</f>
        <v>9781118136782</v>
      </c>
      <c r="D618" t="str">
        <f>"9781118953846"</f>
        <v>9781118953846</v>
      </c>
      <c r="E618" t="s">
        <v>26</v>
      </c>
      <c r="F618" s="1">
        <v>42100</v>
      </c>
      <c r="G618" t="s">
        <v>16</v>
      </c>
      <c r="H618">
        <v>7</v>
      </c>
      <c r="J618" t="s">
        <v>2301</v>
      </c>
      <c r="K618" t="s">
        <v>394</v>
      </c>
      <c r="L618">
        <v>155.4</v>
      </c>
      <c r="M618" t="s">
        <v>2299</v>
      </c>
      <c r="N618" t="s">
        <v>20</v>
      </c>
    </row>
    <row r="619" spans="1:14">
      <c r="A619">
        <v>1895802</v>
      </c>
      <c r="B619" t="s">
        <v>2302</v>
      </c>
      <c r="C619" t="str">
        <f>"9781118136799"</f>
        <v>9781118136799</v>
      </c>
      <c r="D619" t="str">
        <f>"9781118953877"</f>
        <v>9781118953877</v>
      </c>
      <c r="E619" t="s">
        <v>26</v>
      </c>
      <c r="F619" s="1">
        <v>42100</v>
      </c>
      <c r="G619" t="s">
        <v>16</v>
      </c>
      <c r="H619">
        <v>7</v>
      </c>
      <c r="J619" t="s">
        <v>2303</v>
      </c>
      <c r="K619" t="s">
        <v>394</v>
      </c>
      <c r="L619">
        <v>155.4</v>
      </c>
      <c r="M619" t="s">
        <v>2299</v>
      </c>
      <c r="N619" t="s">
        <v>20</v>
      </c>
    </row>
    <row r="620" spans="1:14">
      <c r="A620">
        <v>1895803</v>
      </c>
      <c r="B620" t="s">
        <v>2304</v>
      </c>
      <c r="C620" t="str">
        <f>"9781118136805"</f>
        <v>9781118136805</v>
      </c>
      <c r="D620" t="str">
        <f>"9781118953914"</f>
        <v>9781118953914</v>
      </c>
      <c r="E620" t="s">
        <v>26</v>
      </c>
      <c r="F620" s="1">
        <v>42100</v>
      </c>
      <c r="G620" t="s">
        <v>16</v>
      </c>
      <c r="H620">
        <v>7</v>
      </c>
      <c r="J620" t="s">
        <v>2305</v>
      </c>
      <c r="K620" t="s">
        <v>394</v>
      </c>
      <c r="L620">
        <v>155.4</v>
      </c>
      <c r="M620" t="s">
        <v>2299</v>
      </c>
      <c r="N620" t="s">
        <v>20</v>
      </c>
    </row>
    <row r="621" spans="1:14">
      <c r="A621">
        <v>1896002</v>
      </c>
      <c r="B621" t="s">
        <v>2306</v>
      </c>
      <c r="C621" t="str">
        <f>"9781119049036"</f>
        <v>9781119049036</v>
      </c>
      <c r="D621" t="str">
        <f>"9781119049166"</f>
        <v>9781119049166</v>
      </c>
      <c r="E621" t="s">
        <v>26</v>
      </c>
      <c r="F621" s="1">
        <v>42016</v>
      </c>
      <c r="G621" t="s">
        <v>16</v>
      </c>
      <c r="H621">
        <v>1</v>
      </c>
      <c r="I621" t="s">
        <v>2307</v>
      </c>
      <c r="J621" t="s">
        <v>2308</v>
      </c>
      <c r="K621" t="s">
        <v>408</v>
      </c>
      <c r="L621">
        <v>371.8</v>
      </c>
      <c r="M621" t="s">
        <v>2309</v>
      </c>
      <c r="N621" t="s">
        <v>20</v>
      </c>
    </row>
    <row r="622" spans="1:14">
      <c r="A622">
        <v>1911581</v>
      </c>
      <c r="B622" t="s">
        <v>2310</v>
      </c>
      <c r="C622" t="str">
        <f>"9780786424597"</f>
        <v>9780786424597</v>
      </c>
      <c r="D622" t="str">
        <f>"9781476602301"</f>
        <v>9781476602301</v>
      </c>
      <c r="E622" t="s">
        <v>641</v>
      </c>
      <c r="F622" s="1">
        <v>38779</v>
      </c>
      <c r="G622" t="s">
        <v>16</v>
      </c>
      <c r="J622" t="s">
        <v>2311</v>
      </c>
      <c r="K622" t="s">
        <v>50</v>
      </c>
      <c r="L622" t="s">
        <v>2312</v>
      </c>
      <c r="M622" t="s">
        <v>2313</v>
      </c>
      <c r="N622" t="s">
        <v>20</v>
      </c>
    </row>
    <row r="623" spans="1:14">
      <c r="A623">
        <v>1915540</v>
      </c>
      <c r="B623" t="s">
        <v>2314</v>
      </c>
      <c r="C623" t="str">
        <f>"9780813155876"</f>
        <v>9780813155876</v>
      </c>
      <c r="D623" t="str">
        <f>"9780813165202"</f>
        <v>9780813165202</v>
      </c>
      <c r="E623" t="s">
        <v>2315</v>
      </c>
      <c r="F623" s="1">
        <v>41827</v>
      </c>
      <c r="G623" t="s">
        <v>16</v>
      </c>
      <c r="J623" t="s">
        <v>2316</v>
      </c>
      <c r="K623" t="s">
        <v>2317</v>
      </c>
      <c r="L623">
        <v>301.24308459999997</v>
      </c>
      <c r="M623" t="s">
        <v>2318</v>
      </c>
      <c r="N623" t="s">
        <v>20</v>
      </c>
    </row>
    <row r="624" spans="1:14">
      <c r="A624">
        <v>1926069</v>
      </c>
      <c r="B624" t="s">
        <v>2319</v>
      </c>
      <c r="C624" t="str">
        <f>"9780199783281"</f>
        <v>9780199783281</v>
      </c>
      <c r="D624" t="str">
        <f>"9780199790531"</f>
        <v>9780199790531</v>
      </c>
      <c r="E624" t="s">
        <v>750</v>
      </c>
      <c r="F624" s="1">
        <v>42128</v>
      </c>
      <c r="G624" t="s">
        <v>16</v>
      </c>
      <c r="I624" t="s">
        <v>1100</v>
      </c>
      <c r="J624" t="s">
        <v>2320</v>
      </c>
      <c r="K624" t="s">
        <v>50</v>
      </c>
      <c r="L624">
        <v>987</v>
      </c>
      <c r="M624" t="s">
        <v>2321</v>
      </c>
      <c r="N624" t="s">
        <v>20</v>
      </c>
    </row>
    <row r="625" spans="1:14">
      <c r="A625">
        <v>1926297</v>
      </c>
      <c r="B625" t="s">
        <v>2322</v>
      </c>
      <c r="C625" t="str">
        <f>"9780814769133"</f>
        <v>9780814769133</v>
      </c>
      <c r="D625" t="str">
        <f>"9780814769164"</f>
        <v>9780814769164</v>
      </c>
      <c r="E625" t="s">
        <v>1301</v>
      </c>
      <c r="F625" s="1">
        <v>42027</v>
      </c>
      <c r="G625" t="s">
        <v>16</v>
      </c>
      <c r="J625" t="s">
        <v>2323</v>
      </c>
      <c r="K625" t="s">
        <v>985</v>
      </c>
      <c r="L625">
        <v>392.30973090340001</v>
      </c>
      <c r="M625" t="s">
        <v>2324</v>
      </c>
      <c r="N625" t="s">
        <v>20</v>
      </c>
    </row>
    <row r="626" spans="1:14">
      <c r="A626">
        <v>1953173</v>
      </c>
      <c r="B626" t="s">
        <v>2325</v>
      </c>
      <c r="C626" t="str">
        <f>"9780826120311"</f>
        <v>9780826120311</v>
      </c>
      <c r="D626" t="str">
        <f>"9780826120328"</f>
        <v>9780826120328</v>
      </c>
      <c r="E626" t="s">
        <v>379</v>
      </c>
      <c r="F626" s="1">
        <v>42055</v>
      </c>
      <c r="G626" t="s">
        <v>16</v>
      </c>
      <c r="H626">
        <v>1</v>
      </c>
      <c r="J626" t="s">
        <v>2326</v>
      </c>
      <c r="K626" t="s">
        <v>1776</v>
      </c>
      <c r="L626">
        <v>610.73030000000006</v>
      </c>
      <c r="M626" t="s">
        <v>2327</v>
      </c>
      <c r="N626" t="s">
        <v>20</v>
      </c>
    </row>
    <row r="627" spans="1:14">
      <c r="A627">
        <v>1953259</v>
      </c>
      <c r="B627" t="s">
        <v>2328</v>
      </c>
      <c r="C627" t="str">
        <f>"9780786441426"</f>
        <v>9780786441426</v>
      </c>
      <c r="D627" t="str">
        <f>"9781476619156"</f>
        <v>9781476619156</v>
      </c>
      <c r="E627" t="s">
        <v>641</v>
      </c>
      <c r="F627" s="1">
        <v>42033</v>
      </c>
      <c r="G627" t="s">
        <v>16</v>
      </c>
      <c r="H627">
        <v>2</v>
      </c>
      <c r="J627" t="s">
        <v>2329</v>
      </c>
      <c r="K627" t="s">
        <v>2330</v>
      </c>
      <c r="L627" t="s">
        <v>2331</v>
      </c>
      <c r="M627" t="s">
        <v>2332</v>
      </c>
      <c r="N627" t="s">
        <v>20</v>
      </c>
    </row>
    <row r="628" spans="1:14">
      <c r="A628">
        <v>1956429</v>
      </c>
      <c r="B628" t="s">
        <v>2333</v>
      </c>
      <c r="C628" t="str">
        <f>"9781118532409"</f>
        <v>9781118532409</v>
      </c>
      <c r="D628" t="str">
        <f>"9781118532386"</f>
        <v>9781118532386</v>
      </c>
      <c r="E628" t="s">
        <v>26</v>
      </c>
      <c r="F628" s="1">
        <v>42114</v>
      </c>
      <c r="G628" t="s">
        <v>16</v>
      </c>
      <c r="H628">
        <v>1</v>
      </c>
      <c r="J628" t="s">
        <v>2334</v>
      </c>
      <c r="K628" t="s">
        <v>2250</v>
      </c>
      <c r="L628">
        <v>729</v>
      </c>
      <c r="M628" t="s">
        <v>2335</v>
      </c>
      <c r="N628" t="s">
        <v>20</v>
      </c>
    </row>
    <row r="629" spans="1:14">
      <c r="A629">
        <v>1995291</v>
      </c>
      <c r="B629" t="s">
        <v>2336</v>
      </c>
      <c r="C629" t="str">
        <f>"9781412966702"</f>
        <v>9781412966702</v>
      </c>
      <c r="D629" t="str">
        <f>"9781452266107"</f>
        <v>9781452266107</v>
      </c>
      <c r="E629" t="s">
        <v>193</v>
      </c>
      <c r="F629" s="1">
        <v>39905</v>
      </c>
      <c r="G629" t="s">
        <v>16</v>
      </c>
      <c r="H629">
        <v>1</v>
      </c>
      <c r="J629" t="s">
        <v>2337</v>
      </c>
      <c r="K629" t="s">
        <v>2338</v>
      </c>
      <c r="L629">
        <v>790.1</v>
      </c>
      <c r="M629" t="s">
        <v>2339</v>
      </c>
      <c r="N629" t="s">
        <v>20</v>
      </c>
    </row>
    <row r="630" spans="1:14">
      <c r="A630">
        <v>1995304</v>
      </c>
      <c r="B630" t="s">
        <v>2340</v>
      </c>
      <c r="C630" t="str">
        <f>"9781412961424"</f>
        <v>9781412961424</v>
      </c>
      <c r="D630" t="str">
        <f>"9781452266312"</f>
        <v>9781452266312</v>
      </c>
      <c r="E630" t="s">
        <v>193</v>
      </c>
      <c r="F630" s="1">
        <v>40312</v>
      </c>
      <c r="G630" t="s">
        <v>16</v>
      </c>
      <c r="H630">
        <v>1</v>
      </c>
      <c r="J630" t="s">
        <v>2341</v>
      </c>
      <c r="K630" t="s">
        <v>502</v>
      </c>
      <c r="L630">
        <v>330</v>
      </c>
      <c r="M630" t="s">
        <v>2342</v>
      </c>
      <c r="N630" t="s">
        <v>20</v>
      </c>
    </row>
    <row r="631" spans="1:14">
      <c r="A631">
        <v>2009908</v>
      </c>
      <c r="B631" t="s">
        <v>2343</v>
      </c>
      <c r="C631" t="str">
        <f>"9780830817801"</f>
        <v>9780830817801</v>
      </c>
      <c r="D631" t="str">
        <f>"9780830867349"</f>
        <v>9780830867349</v>
      </c>
      <c r="E631" t="s">
        <v>2344</v>
      </c>
      <c r="F631" s="1">
        <v>40309</v>
      </c>
      <c r="G631" t="s">
        <v>16</v>
      </c>
      <c r="I631" t="s">
        <v>2345</v>
      </c>
      <c r="J631" t="s">
        <v>2346</v>
      </c>
      <c r="K631" t="s">
        <v>94</v>
      </c>
      <c r="L631">
        <v>225.3</v>
      </c>
      <c r="M631" t="s">
        <v>2347</v>
      </c>
      <c r="N631" t="s">
        <v>20</v>
      </c>
    </row>
    <row r="632" spans="1:14">
      <c r="A632">
        <v>2009910</v>
      </c>
      <c r="B632" t="s">
        <v>2348</v>
      </c>
      <c r="C632" t="str">
        <f>"9780830817818"</f>
        <v>9780830817818</v>
      </c>
      <c r="D632" t="str">
        <f>"9780830867370"</f>
        <v>9780830867370</v>
      </c>
      <c r="E632" t="s">
        <v>2344</v>
      </c>
      <c r="F632" s="1">
        <v>37603</v>
      </c>
      <c r="G632" t="s">
        <v>16</v>
      </c>
      <c r="I632" t="s">
        <v>2349</v>
      </c>
      <c r="J632" t="s">
        <v>2350</v>
      </c>
      <c r="K632" t="s">
        <v>94</v>
      </c>
      <c r="L632" t="s">
        <v>2351</v>
      </c>
      <c r="M632" t="s">
        <v>2352</v>
      </c>
      <c r="N632" t="s">
        <v>20</v>
      </c>
    </row>
    <row r="633" spans="1:14">
      <c r="A633">
        <v>2012648</v>
      </c>
      <c r="B633" t="s">
        <v>2353</v>
      </c>
      <c r="C633" t="str">
        <f>"9780199354290"</f>
        <v>9780199354290</v>
      </c>
      <c r="D633" t="str">
        <f>"9780199354306"</f>
        <v>9780199354306</v>
      </c>
      <c r="E633" t="s">
        <v>703</v>
      </c>
      <c r="F633" s="1">
        <v>42158</v>
      </c>
      <c r="G633" t="s">
        <v>16</v>
      </c>
      <c r="I633" t="s">
        <v>1100</v>
      </c>
      <c r="J633" t="s">
        <v>2354</v>
      </c>
      <c r="K633" t="s">
        <v>1233</v>
      </c>
      <c r="L633" t="s">
        <v>2355</v>
      </c>
      <c r="M633" t="s">
        <v>2356</v>
      </c>
      <c r="N633" t="s">
        <v>20</v>
      </c>
    </row>
    <row r="634" spans="1:14">
      <c r="A634">
        <v>2027190</v>
      </c>
      <c r="B634" t="s">
        <v>2357</v>
      </c>
      <c r="C634" t="str">
        <f>"9781118494066"</f>
        <v>9781118494066</v>
      </c>
      <c r="D634" t="str">
        <f>"9781118494141"</f>
        <v>9781118494141</v>
      </c>
      <c r="E634" t="s">
        <v>26</v>
      </c>
      <c r="F634" s="1">
        <v>42205</v>
      </c>
      <c r="G634" t="s">
        <v>16</v>
      </c>
      <c r="H634">
        <v>1</v>
      </c>
      <c r="I634" t="s">
        <v>302</v>
      </c>
      <c r="J634" t="s">
        <v>2358</v>
      </c>
      <c r="K634" t="s">
        <v>18</v>
      </c>
      <c r="L634" t="s">
        <v>2359</v>
      </c>
      <c r="M634" t="s">
        <v>2360</v>
      </c>
      <c r="N634" t="s">
        <v>20</v>
      </c>
    </row>
    <row r="635" spans="1:14">
      <c r="A635">
        <v>2029824</v>
      </c>
      <c r="B635" t="s">
        <v>2361</v>
      </c>
      <c r="C635" t="str">
        <f>"9780830814190"</f>
        <v>9780830814190</v>
      </c>
      <c r="D635" t="str">
        <f>"9780830866083"</f>
        <v>9780830866083</v>
      </c>
      <c r="E635" t="s">
        <v>2344</v>
      </c>
      <c r="F635" s="1">
        <v>36838</v>
      </c>
      <c r="G635" t="s">
        <v>16</v>
      </c>
      <c r="J635" t="s">
        <v>2362</v>
      </c>
      <c r="K635" t="s">
        <v>94</v>
      </c>
      <c r="L635">
        <v>221.7</v>
      </c>
      <c r="M635" t="s">
        <v>2363</v>
      </c>
      <c r="N635" t="s">
        <v>20</v>
      </c>
    </row>
    <row r="636" spans="1:14">
      <c r="A636">
        <v>2033922</v>
      </c>
      <c r="B636" t="s">
        <v>2364</v>
      </c>
      <c r="C636" t="str">
        <f>"9780830814497"</f>
        <v>9780830814497</v>
      </c>
      <c r="D636" t="str">
        <f>"9780830867073"</f>
        <v>9780830867073</v>
      </c>
      <c r="E636" t="s">
        <v>2344</v>
      </c>
      <c r="F636" s="1">
        <v>36276</v>
      </c>
      <c r="G636" t="s">
        <v>16</v>
      </c>
      <c r="I636" t="s">
        <v>2365</v>
      </c>
      <c r="J636" t="s">
        <v>2366</v>
      </c>
      <c r="K636" t="s">
        <v>94</v>
      </c>
      <c r="L636" t="s">
        <v>2367</v>
      </c>
      <c r="M636" t="s">
        <v>2368</v>
      </c>
      <c r="N636" t="s">
        <v>20</v>
      </c>
    </row>
    <row r="637" spans="1:14">
      <c r="A637">
        <v>2033940</v>
      </c>
      <c r="B637" t="s">
        <v>2369</v>
      </c>
      <c r="C637" t="str">
        <f>"9780830827022"</f>
        <v>9780830827022</v>
      </c>
      <c r="D637" t="str">
        <f>"9780830876532"</f>
        <v>9780830876532</v>
      </c>
      <c r="E637" t="s">
        <v>2344</v>
      </c>
      <c r="F637" s="1">
        <v>40045</v>
      </c>
      <c r="G637" t="s">
        <v>16</v>
      </c>
      <c r="I637" t="s">
        <v>2370</v>
      </c>
      <c r="J637" t="s">
        <v>2371</v>
      </c>
      <c r="K637" t="s">
        <v>94</v>
      </c>
      <c r="L637">
        <v>239</v>
      </c>
      <c r="M637" t="s">
        <v>2372</v>
      </c>
      <c r="N637" t="s">
        <v>20</v>
      </c>
    </row>
    <row r="638" spans="1:14">
      <c r="A638">
        <v>2041979</v>
      </c>
      <c r="B638" t="s">
        <v>2373</v>
      </c>
      <c r="C638" t="str">
        <f>"9781412936361"</f>
        <v>9781412936361</v>
      </c>
      <c r="D638" t="str">
        <f>"9781452266039"</f>
        <v>9781452266039</v>
      </c>
      <c r="E638" t="s">
        <v>193</v>
      </c>
      <c r="F638" s="1">
        <v>39778</v>
      </c>
      <c r="G638" t="s">
        <v>16</v>
      </c>
      <c r="H638">
        <v>1</v>
      </c>
      <c r="J638" t="s">
        <v>2374</v>
      </c>
      <c r="K638" t="s">
        <v>94</v>
      </c>
      <c r="L638">
        <v>299.60300000000001</v>
      </c>
      <c r="M638" t="s">
        <v>2375</v>
      </c>
      <c r="N638" t="s">
        <v>20</v>
      </c>
    </row>
    <row r="639" spans="1:14">
      <c r="A639">
        <v>2050705</v>
      </c>
      <c r="B639" t="s">
        <v>2376</v>
      </c>
      <c r="C639" t="str">
        <f>"9780830827312"</f>
        <v>9780830827312</v>
      </c>
      <c r="D639" t="str">
        <f>"9780830866137"</f>
        <v>9780830866137</v>
      </c>
      <c r="E639" t="s">
        <v>2344</v>
      </c>
      <c r="F639" s="1">
        <v>38785</v>
      </c>
      <c r="G639" t="s">
        <v>16</v>
      </c>
      <c r="J639" t="s">
        <v>2377</v>
      </c>
      <c r="K639" t="s">
        <v>94</v>
      </c>
      <c r="L639" t="s">
        <v>2378</v>
      </c>
      <c r="M639" t="s">
        <v>2379</v>
      </c>
      <c r="N639" t="s">
        <v>20</v>
      </c>
    </row>
    <row r="640" spans="1:14">
      <c r="A640">
        <v>2056410</v>
      </c>
      <c r="B640" t="s">
        <v>2380</v>
      </c>
      <c r="C640" t="str">
        <f>"9783110291841"</f>
        <v>9783110291841</v>
      </c>
      <c r="D640" t="str">
        <f>"9783110292022"</f>
        <v>9783110292022</v>
      </c>
      <c r="E640" t="s">
        <v>1632</v>
      </c>
      <c r="F640" s="1">
        <v>42181</v>
      </c>
      <c r="G640" t="s">
        <v>16</v>
      </c>
      <c r="I640" t="s">
        <v>1633</v>
      </c>
      <c r="J640" t="s">
        <v>2381</v>
      </c>
      <c r="K640" t="s">
        <v>386</v>
      </c>
      <c r="L640">
        <v>410</v>
      </c>
      <c r="M640" t="s">
        <v>2382</v>
      </c>
      <c r="N640" t="s">
        <v>20</v>
      </c>
    </row>
    <row r="641" spans="1:14">
      <c r="A641">
        <v>2065468</v>
      </c>
      <c r="B641" t="s">
        <v>2383</v>
      </c>
      <c r="C641" t="str">
        <f>"9781846740824"</f>
        <v>9781846740824</v>
      </c>
      <c r="D641" t="str">
        <f>"9781846748295"</f>
        <v>9781846748295</v>
      </c>
      <c r="E641" t="s">
        <v>2384</v>
      </c>
      <c r="F641" s="1">
        <v>39560</v>
      </c>
      <c r="G641" t="s">
        <v>16</v>
      </c>
      <c r="J641" t="s">
        <v>2385</v>
      </c>
      <c r="K641" t="s">
        <v>2250</v>
      </c>
      <c r="L641">
        <v>720.94100000000003</v>
      </c>
      <c r="M641" t="s">
        <v>2386</v>
      </c>
      <c r="N641" t="s">
        <v>20</v>
      </c>
    </row>
    <row r="642" spans="1:14">
      <c r="A642">
        <v>2068534</v>
      </c>
      <c r="B642" t="s">
        <v>2387</v>
      </c>
      <c r="C642" t="str">
        <f>"9780470659281"</f>
        <v>9780470659281</v>
      </c>
      <c r="D642" t="str">
        <f>"9781118883549"</f>
        <v>9781118883549</v>
      </c>
      <c r="E642" t="s">
        <v>26</v>
      </c>
      <c r="F642" s="1">
        <v>42233</v>
      </c>
      <c r="G642" t="s">
        <v>16</v>
      </c>
      <c r="H642">
        <v>1</v>
      </c>
      <c r="I642" t="s">
        <v>1322</v>
      </c>
      <c r="J642" t="s">
        <v>2388</v>
      </c>
      <c r="K642" t="s">
        <v>35</v>
      </c>
      <c r="L642">
        <v>791.43095125000002</v>
      </c>
      <c r="M642" t="s">
        <v>2389</v>
      </c>
      <c r="N642" t="s">
        <v>20</v>
      </c>
    </row>
    <row r="643" spans="1:14">
      <c r="A643">
        <v>2071261</v>
      </c>
      <c r="B643" t="s">
        <v>2390</v>
      </c>
      <c r="C643" t="str">
        <f>"9780190217266"</f>
        <v>9780190217266</v>
      </c>
      <c r="D643" t="str">
        <f>"9780190217273"</f>
        <v>9780190217273</v>
      </c>
      <c r="E643" t="s">
        <v>703</v>
      </c>
      <c r="F643" s="1">
        <v>42240</v>
      </c>
      <c r="G643" t="s">
        <v>16</v>
      </c>
      <c r="I643" t="s">
        <v>1100</v>
      </c>
      <c r="J643" t="s">
        <v>2391</v>
      </c>
      <c r="K643" t="s">
        <v>625</v>
      </c>
      <c r="L643">
        <v>363.32499999999999</v>
      </c>
      <c r="M643" t="s">
        <v>2392</v>
      </c>
      <c r="N643" t="s">
        <v>20</v>
      </c>
    </row>
    <row r="644" spans="1:14">
      <c r="A644">
        <v>2077534</v>
      </c>
      <c r="B644" t="s">
        <v>2393</v>
      </c>
      <c r="C644" t="str">
        <f>"9781444337532"</f>
        <v>9781444337532</v>
      </c>
      <c r="D644" t="str">
        <f>"9781118997413"</f>
        <v>9781118997413</v>
      </c>
      <c r="E644" t="s">
        <v>26</v>
      </c>
      <c r="F644" s="1">
        <v>42255</v>
      </c>
      <c r="G644" t="s">
        <v>16</v>
      </c>
      <c r="H644">
        <v>1</v>
      </c>
      <c r="I644" t="s">
        <v>88</v>
      </c>
      <c r="J644" t="s">
        <v>2394</v>
      </c>
      <c r="K644" t="s">
        <v>408</v>
      </c>
      <c r="L644">
        <v>370.93799999999999</v>
      </c>
      <c r="M644" t="s">
        <v>2395</v>
      </c>
      <c r="N644" t="s">
        <v>20</v>
      </c>
    </row>
    <row r="645" spans="1:14">
      <c r="A645">
        <v>2079971</v>
      </c>
      <c r="B645" t="s">
        <v>2396</v>
      </c>
      <c r="C645" t="str">
        <f>"9780910627016"</f>
        <v>9780910627016</v>
      </c>
      <c r="D645" t="str">
        <f>"9781601384577"</f>
        <v>9781601384577</v>
      </c>
      <c r="E645" t="s">
        <v>2397</v>
      </c>
      <c r="F645" s="1">
        <v>38729</v>
      </c>
      <c r="G645" t="s">
        <v>16</v>
      </c>
      <c r="J645" t="s">
        <v>2398</v>
      </c>
      <c r="K645" t="s">
        <v>502</v>
      </c>
      <c r="L645">
        <v>333.33030000000002</v>
      </c>
      <c r="M645" t="s">
        <v>2399</v>
      </c>
      <c r="N645" t="s">
        <v>20</v>
      </c>
    </row>
    <row r="646" spans="1:14">
      <c r="A646">
        <v>2080033</v>
      </c>
      <c r="B646" t="s">
        <v>2400</v>
      </c>
      <c r="C646" t="str">
        <f>"9781601380142"</f>
        <v>9781601380142</v>
      </c>
      <c r="D646" t="str">
        <f>"9781601387059"</f>
        <v>9781601387059</v>
      </c>
      <c r="E646" t="s">
        <v>2397</v>
      </c>
      <c r="F646" s="1">
        <v>40660</v>
      </c>
      <c r="G646" t="s">
        <v>16</v>
      </c>
      <c r="J646" t="s">
        <v>2401</v>
      </c>
      <c r="K646" t="s">
        <v>552</v>
      </c>
      <c r="L646" t="s">
        <v>2402</v>
      </c>
      <c r="M646" t="s">
        <v>2403</v>
      </c>
      <c r="N646" t="s">
        <v>20</v>
      </c>
    </row>
    <row r="647" spans="1:14">
      <c r="A647">
        <v>2080049</v>
      </c>
      <c r="B647" t="s">
        <v>2404</v>
      </c>
      <c r="C647" t="str">
        <f>"9781601380388"</f>
        <v>9781601380388</v>
      </c>
      <c r="D647" t="str">
        <f>"9781601381781"</f>
        <v>9781601381781</v>
      </c>
      <c r="E647" t="s">
        <v>2397</v>
      </c>
      <c r="F647" s="1">
        <v>39115</v>
      </c>
      <c r="G647" t="s">
        <v>16</v>
      </c>
      <c r="J647" t="s">
        <v>2405</v>
      </c>
      <c r="K647" t="s">
        <v>502</v>
      </c>
      <c r="L647">
        <v>332.60300000000001</v>
      </c>
      <c r="M647" t="s">
        <v>2406</v>
      </c>
      <c r="N647" t="s">
        <v>20</v>
      </c>
    </row>
    <row r="648" spans="1:14">
      <c r="A648">
        <v>2080108</v>
      </c>
      <c r="B648" t="s">
        <v>2407</v>
      </c>
      <c r="C648" t="str">
        <f>"9781601382375"</f>
        <v>9781601382375</v>
      </c>
      <c r="D648" t="str">
        <f>"9781601387158"</f>
        <v>9781601387158</v>
      </c>
      <c r="E648" t="s">
        <v>2397</v>
      </c>
      <c r="F648" s="1">
        <v>40573</v>
      </c>
      <c r="G648" t="s">
        <v>16</v>
      </c>
      <c r="J648" t="s">
        <v>2408</v>
      </c>
      <c r="K648" t="s">
        <v>340</v>
      </c>
      <c r="L648">
        <v>368.00299999999999</v>
      </c>
      <c r="M648" t="s">
        <v>2409</v>
      </c>
      <c r="N648" t="s">
        <v>20</v>
      </c>
    </row>
    <row r="649" spans="1:14">
      <c r="A649">
        <v>2080118</v>
      </c>
      <c r="B649" t="s">
        <v>2410</v>
      </c>
      <c r="C649" t="str">
        <f>"9781601382481"</f>
        <v>9781601382481</v>
      </c>
      <c r="D649" t="str">
        <f>"9781601387172"</f>
        <v>9781601387172</v>
      </c>
      <c r="E649" t="s">
        <v>2397</v>
      </c>
      <c r="F649" s="1">
        <v>40592</v>
      </c>
      <c r="G649" t="s">
        <v>16</v>
      </c>
      <c r="J649" t="s">
        <v>2411</v>
      </c>
      <c r="K649" t="s">
        <v>29</v>
      </c>
      <c r="L649" t="s">
        <v>2412</v>
      </c>
      <c r="M649" t="s">
        <v>2413</v>
      </c>
      <c r="N649" t="s">
        <v>20</v>
      </c>
    </row>
    <row r="650" spans="1:14">
      <c r="A650">
        <v>2080169</v>
      </c>
      <c r="B650" t="s">
        <v>2414</v>
      </c>
      <c r="C650" t="str">
        <f>"9781601383259"</f>
        <v>9781601383259</v>
      </c>
      <c r="D650" t="str">
        <f>"9781601387424"</f>
        <v>9781601387424</v>
      </c>
      <c r="E650" t="s">
        <v>2397</v>
      </c>
      <c r="F650" s="1">
        <v>40497</v>
      </c>
      <c r="G650" t="s">
        <v>16</v>
      </c>
      <c r="J650" t="s">
        <v>2415</v>
      </c>
      <c r="K650" t="s">
        <v>29</v>
      </c>
      <c r="L650">
        <v>657.03</v>
      </c>
      <c r="M650" t="s">
        <v>2416</v>
      </c>
      <c r="N650" t="s">
        <v>20</v>
      </c>
    </row>
    <row r="651" spans="1:14">
      <c r="A651">
        <v>2089252</v>
      </c>
      <c r="B651" t="s">
        <v>2417</v>
      </c>
      <c r="C651" t="str">
        <f>"9780830815623"</f>
        <v>9780830815623</v>
      </c>
      <c r="D651" t="str">
        <f>"9780830896301"</f>
        <v>9780830896301</v>
      </c>
      <c r="E651" t="s">
        <v>2344</v>
      </c>
      <c r="F651" s="1">
        <v>39551</v>
      </c>
      <c r="G651" t="s">
        <v>16</v>
      </c>
      <c r="J651" t="s">
        <v>2418</v>
      </c>
      <c r="K651" t="s">
        <v>94</v>
      </c>
      <c r="L651" t="s">
        <v>2419</v>
      </c>
      <c r="M651" t="s">
        <v>2420</v>
      </c>
      <c r="N651" t="s">
        <v>20</v>
      </c>
    </row>
    <row r="652" spans="1:14">
      <c r="A652">
        <v>2121292</v>
      </c>
      <c r="B652" t="s">
        <v>2421</v>
      </c>
      <c r="C652" t="str">
        <f>"9780190237288"</f>
        <v>9780190237288</v>
      </c>
      <c r="D652" t="str">
        <f>"9780190237295"</f>
        <v>9780190237295</v>
      </c>
      <c r="E652" t="s">
        <v>703</v>
      </c>
      <c r="F652" s="1">
        <v>42250</v>
      </c>
      <c r="G652" t="s">
        <v>16</v>
      </c>
      <c r="I652" t="s">
        <v>1100</v>
      </c>
      <c r="J652" t="s">
        <v>2422</v>
      </c>
      <c r="K652" t="s">
        <v>1102</v>
      </c>
      <c r="L652">
        <v>320.9477</v>
      </c>
      <c r="M652" t="s">
        <v>2423</v>
      </c>
      <c r="N652" t="s">
        <v>20</v>
      </c>
    </row>
    <row r="653" spans="1:14">
      <c r="A653">
        <v>2144880</v>
      </c>
      <c r="B653" t="s">
        <v>2424</v>
      </c>
      <c r="C653" t="str">
        <f>"9789004231597"</f>
        <v>9789004231597</v>
      </c>
      <c r="D653" t="str">
        <f>"9789004284784"</f>
        <v>9789004284784</v>
      </c>
      <c r="E653" t="s">
        <v>468</v>
      </c>
      <c r="F653" s="1">
        <v>42230</v>
      </c>
      <c r="G653" t="s">
        <v>16</v>
      </c>
      <c r="H653">
        <v>1</v>
      </c>
      <c r="I653" t="s">
        <v>1646</v>
      </c>
      <c r="J653" t="s">
        <v>2425</v>
      </c>
      <c r="K653" t="s">
        <v>18</v>
      </c>
      <c r="L653" t="s">
        <v>2426</v>
      </c>
      <c r="M653" t="s">
        <v>2427</v>
      </c>
      <c r="N653" t="s">
        <v>20</v>
      </c>
    </row>
    <row r="654" spans="1:14">
      <c r="A654">
        <v>2144898</v>
      </c>
      <c r="B654" t="s">
        <v>2428</v>
      </c>
      <c r="C654" t="str">
        <f>"9781118893609"</f>
        <v>9781118893609</v>
      </c>
      <c r="D654" t="str">
        <f>"9781118893692"</f>
        <v>9781118893692</v>
      </c>
      <c r="E654" t="s">
        <v>26</v>
      </c>
      <c r="F654" s="1">
        <v>42247</v>
      </c>
      <c r="G654" t="s">
        <v>16</v>
      </c>
      <c r="H654">
        <v>4</v>
      </c>
      <c r="I654" t="s">
        <v>2429</v>
      </c>
      <c r="J654" t="s">
        <v>2430</v>
      </c>
      <c r="K654" t="s">
        <v>2431</v>
      </c>
      <c r="L654">
        <v>658.4</v>
      </c>
      <c r="M654" t="s">
        <v>2432</v>
      </c>
      <c r="N654" t="s">
        <v>20</v>
      </c>
    </row>
    <row r="655" spans="1:14">
      <c r="A655">
        <v>2198233</v>
      </c>
      <c r="B655" t="s">
        <v>2433</v>
      </c>
      <c r="C655" t="str">
        <f>"9789004245945"</f>
        <v>9789004245945</v>
      </c>
      <c r="D655" t="str">
        <f>"9789004281929"</f>
        <v>9789004281929</v>
      </c>
      <c r="E655" t="s">
        <v>468</v>
      </c>
      <c r="F655" s="1">
        <v>42171</v>
      </c>
      <c r="G655" t="s">
        <v>16</v>
      </c>
      <c r="H655">
        <v>1</v>
      </c>
      <c r="I655" t="s">
        <v>1646</v>
      </c>
      <c r="J655" t="s">
        <v>2434</v>
      </c>
      <c r="K655" t="s">
        <v>386</v>
      </c>
      <c r="L655">
        <v>480.09</v>
      </c>
      <c r="M655" t="s">
        <v>2435</v>
      </c>
      <c r="N655" t="s">
        <v>20</v>
      </c>
    </row>
    <row r="656" spans="1:14">
      <c r="A656">
        <v>2198494</v>
      </c>
      <c r="B656" t="s">
        <v>2436</v>
      </c>
      <c r="C656" t="str">
        <f>"9780190223793"</f>
        <v>9780190223793</v>
      </c>
      <c r="D656" t="str">
        <f>"9780190223816"</f>
        <v>9780190223816</v>
      </c>
      <c r="E656" t="s">
        <v>703</v>
      </c>
      <c r="F656" s="1">
        <v>42311</v>
      </c>
      <c r="G656" t="s">
        <v>16</v>
      </c>
      <c r="I656" t="s">
        <v>1100</v>
      </c>
      <c r="J656" t="s">
        <v>2437</v>
      </c>
      <c r="K656" t="s">
        <v>151</v>
      </c>
      <c r="L656" t="s">
        <v>2438</v>
      </c>
      <c r="M656" t="s">
        <v>2439</v>
      </c>
      <c r="N656" t="s">
        <v>20</v>
      </c>
    </row>
    <row r="657" spans="1:14">
      <c r="A657">
        <v>3004094</v>
      </c>
      <c r="B657" t="s">
        <v>2440</v>
      </c>
      <c r="C657" t="str">
        <f>"9789004136823"</f>
        <v>9789004136823</v>
      </c>
      <c r="D657" t="str">
        <f>"9789047404835"</f>
        <v>9789047404835</v>
      </c>
      <c r="E657" t="s">
        <v>468</v>
      </c>
      <c r="F657" s="1">
        <v>38958</v>
      </c>
      <c r="G657" t="s">
        <v>16</v>
      </c>
      <c r="I657" t="s">
        <v>1646</v>
      </c>
      <c r="J657" t="s">
        <v>2441</v>
      </c>
      <c r="K657" t="s">
        <v>18</v>
      </c>
      <c r="L657" t="s">
        <v>2442</v>
      </c>
      <c r="M657" t="s">
        <v>2443</v>
      </c>
      <c r="N657" t="s">
        <v>20</v>
      </c>
    </row>
    <row r="658" spans="1:14">
      <c r="A658">
        <v>3004132</v>
      </c>
      <c r="B658" t="s">
        <v>2444</v>
      </c>
      <c r="C658" t="str">
        <f>"9789004136830"</f>
        <v>9789004136830</v>
      </c>
      <c r="D658" t="str">
        <f>"9789047404842"</f>
        <v>9789047404842</v>
      </c>
      <c r="E658" t="s">
        <v>468</v>
      </c>
      <c r="F658" s="1">
        <v>39003</v>
      </c>
      <c r="G658" t="s">
        <v>16</v>
      </c>
      <c r="I658" t="s">
        <v>1646</v>
      </c>
      <c r="J658" t="s">
        <v>2445</v>
      </c>
      <c r="K658" t="s">
        <v>50</v>
      </c>
      <c r="L658" t="s">
        <v>2446</v>
      </c>
      <c r="M658" t="s">
        <v>2447</v>
      </c>
      <c r="N658" t="s">
        <v>20</v>
      </c>
    </row>
    <row r="659" spans="1:14">
      <c r="A659">
        <v>3017193</v>
      </c>
      <c r="B659" t="s">
        <v>2448</v>
      </c>
      <c r="C659" t="str">
        <f>"9780786433193"</f>
        <v>9780786433193</v>
      </c>
      <c r="D659" t="str">
        <f>"9780786451715"</f>
        <v>9780786451715</v>
      </c>
      <c r="E659" t="s">
        <v>816</v>
      </c>
      <c r="F659" s="1">
        <v>39630</v>
      </c>
      <c r="G659" t="s">
        <v>16</v>
      </c>
      <c r="H659">
        <v>3</v>
      </c>
      <c r="J659" t="s">
        <v>2449</v>
      </c>
      <c r="K659" t="s">
        <v>753</v>
      </c>
      <c r="L659" t="s">
        <v>2450</v>
      </c>
      <c r="M659" t="s">
        <v>2451</v>
      </c>
      <c r="N659" t="s">
        <v>20</v>
      </c>
    </row>
    <row r="660" spans="1:14">
      <c r="A660">
        <v>3032295</v>
      </c>
      <c r="B660" t="s">
        <v>2452</v>
      </c>
      <c r="C660" t="str">
        <f>"9781412941648"</f>
        <v>9781412941648</v>
      </c>
      <c r="D660" t="str">
        <f>"9781452265940"</f>
        <v>9781452265940</v>
      </c>
      <c r="E660" t="s">
        <v>2453</v>
      </c>
      <c r="F660" s="1">
        <v>39814</v>
      </c>
      <c r="G660" t="s">
        <v>16</v>
      </c>
      <c r="J660" t="s">
        <v>2454</v>
      </c>
      <c r="K660" t="s">
        <v>138</v>
      </c>
      <c r="L660">
        <v>115.03</v>
      </c>
      <c r="M660" t="s">
        <v>2455</v>
      </c>
      <c r="N660" t="s">
        <v>20</v>
      </c>
    </row>
    <row r="661" spans="1:14">
      <c r="A661">
        <v>3039328</v>
      </c>
      <c r="B661" t="s">
        <v>2456</v>
      </c>
      <c r="C661" t="str">
        <f>"9780827608108"</f>
        <v>9780827608108</v>
      </c>
      <c r="D661" t="str">
        <f>"9780827609754"</f>
        <v>9780827609754</v>
      </c>
      <c r="E661" t="s">
        <v>2457</v>
      </c>
      <c r="F661" s="1">
        <v>39114</v>
      </c>
      <c r="G661" t="s">
        <v>16</v>
      </c>
      <c r="I661" t="s">
        <v>1606</v>
      </c>
      <c r="J661" t="s">
        <v>2458</v>
      </c>
      <c r="K661" t="s">
        <v>50</v>
      </c>
      <c r="L661" t="s">
        <v>2459</v>
      </c>
      <c r="M661" t="s">
        <v>2460</v>
      </c>
      <c r="N661" t="s">
        <v>20</v>
      </c>
    </row>
    <row r="662" spans="1:14">
      <c r="A662">
        <v>3039398</v>
      </c>
      <c r="B662" t="s">
        <v>2461</v>
      </c>
      <c r="C662" t="str">
        <f>"9780803240117"</f>
        <v>9780803240117</v>
      </c>
      <c r="D662" t="str">
        <f>"9780803266872"</f>
        <v>9780803266872</v>
      </c>
      <c r="E662" t="s">
        <v>2462</v>
      </c>
      <c r="F662" s="1">
        <v>41913</v>
      </c>
      <c r="G662" t="s">
        <v>16</v>
      </c>
      <c r="J662" t="s">
        <v>2463</v>
      </c>
      <c r="K662" t="s">
        <v>50</v>
      </c>
      <c r="L662">
        <v>940.31200000000001</v>
      </c>
      <c r="M662" t="s">
        <v>2464</v>
      </c>
      <c r="N662" t="s">
        <v>20</v>
      </c>
    </row>
    <row r="663" spans="1:14">
      <c r="A663">
        <v>3055295</v>
      </c>
      <c r="B663" t="s">
        <v>2465</v>
      </c>
      <c r="C663" t="str">
        <f>"9780199934485"</f>
        <v>9780199934485</v>
      </c>
      <c r="D663" t="str">
        <f>"9780199934492"</f>
        <v>9780199934492</v>
      </c>
      <c r="E663" t="s">
        <v>750</v>
      </c>
      <c r="F663" s="1">
        <v>41410</v>
      </c>
      <c r="G663" t="s">
        <v>16</v>
      </c>
      <c r="I663" t="s">
        <v>1100</v>
      </c>
      <c r="J663" t="s">
        <v>2466</v>
      </c>
      <c r="K663" t="s">
        <v>502</v>
      </c>
      <c r="L663">
        <v>332.110973</v>
      </c>
      <c r="M663" t="s">
        <v>2467</v>
      </c>
      <c r="N663" t="s">
        <v>20</v>
      </c>
    </row>
    <row r="664" spans="1:14">
      <c r="A664">
        <v>3116734</v>
      </c>
      <c r="B664" t="s">
        <v>2468</v>
      </c>
      <c r="C664" t="str">
        <f>"9781583217412"</f>
        <v>9781583217412</v>
      </c>
      <c r="D664" t="str">
        <f>"9781613001011"</f>
        <v>9781613001011</v>
      </c>
      <c r="E664" t="s">
        <v>2469</v>
      </c>
      <c r="F664" s="1">
        <v>39783</v>
      </c>
      <c r="G664" t="s">
        <v>16</v>
      </c>
      <c r="H664">
        <v>2</v>
      </c>
      <c r="J664" t="s">
        <v>2470</v>
      </c>
      <c r="K664" t="s">
        <v>2471</v>
      </c>
      <c r="L664">
        <v>628.10299999999995</v>
      </c>
      <c r="M664" t="s">
        <v>2472</v>
      </c>
      <c r="N664" t="s">
        <v>20</v>
      </c>
    </row>
    <row r="665" spans="1:14">
      <c r="A665">
        <v>3134697</v>
      </c>
      <c r="B665" t="s">
        <v>2473</v>
      </c>
      <c r="C665" t="str">
        <f>"9780976594703"</f>
        <v>9780976594703</v>
      </c>
      <c r="D665" t="str">
        <f>"9780986005855"</f>
        <v>9780986005855</v>
      </c>
      <c r="E665" t="s">
        <v>2474</v>
      </c>
      <c r="F665" s="1">
        <v>38626</v>
      </c>
      <c r="G665" t="s">
        <v>16</v>
      </c>
      <c r="J665" t="s">
        <v>2475</v>
      </c>
      <c r="K665" t="s">
        <v>138</v>
      </c>
      <c r="M665" t="s">
        <v>2476</v>
      </c>
      <c r="N665" t="s">
        <v>20</v>
      </c>
    </row>
    <row r="666" spans="1:14">
      <c r="A666">
        <v>3138650</v>
      </c>
      <c r="B666" t="s">
        <v>2477</v>
      </c>
      <c r="C666" t="str">
        <f>"9780801452253"</f>
        <v>9780801452253</v>
      </c>
      <c r="D666" t="str">
        <f>"9780801454592"</f>
        <v>9780801454592</v>
      </c>
      <c r="E666" t="s">
        <v>2478</v>
      </c>
      <c r="F666" s="1">
        <v>41863</v>
      </c>
      <c r="G666" t="s">
        <v>16</v>
      </c>
      <c r="H666">
        <v>5</v>
      </c>
      <c r="J666" t="s">
        <v>2479</v>
      </c>
      <c r="K666" t="s">
        <v>269</v>
      </c>
      <c r="L666">
        <v>344.73009999999999</v>
      </c>
      <c r="M666" t="s">
        <v>2480</v>
      </c>
      <c r="N666" t="s">
        <v>20</v>
      </c>
    </row>
    <row r="667" spans="1:14">
      <c r="A667">
        <v>3138726</v>
      </c>
      <c r="B667" t="s">
        <v>2481</v>
      </c>
      <c r="C667" t="str">
        <f>"9780801477683"</f>
        <v>9780801477683</v>
      </c>
      <c r="D667" t="str">
        <f>"9780801454929"</f>
        <v>9780801454929</v>
      </c>
      <c r="E667" t="s">
        <v>2478</v>
      </c>
      <c r="F667" s="1">
        <v>41954</v>
      </c>
      <c r="G667" t="s">
        <v>16</v>
      </c>
      <c r="H667">
        <v>1</v>
      </c>
      <c r="J667" t="s">
        <v>2482</v>
      </c>
      <c r="K667" t="s">
        <v>2483</v>
      </c>
      <c r="L667" t="s">
        <v>2484</v>
      </c>
      <c r="M667" t="s">
        <v>2485</v>
      </c>
      <c r="N667" t="s">
        <v>20</v>
      </c>
    </row>
    <row r="668" spans="1:14">
      <c r="A668">
        <v>3239053</v>
      </c>
      <c r="B668" t="s">
        <v>2486</v>
      </c>
      <c r="C668" t="str">
        <f>"9788817368568"</f>
        <v>9788817368568</v>
      </c>
      <c r="D668" t="str">
        <f>"9788817368643"</f>
        <v>9788817368643</v>
      </c>
      <c r="E668" t="s">
        <v>2487</v>
      </c>
      <c r="F668" s="1">
        <v>41183</v>
      </c>
      <c r="G668" t="s">
        <v>16</v>
      </c>
      <c r="H668">
        <v>9</v>
      </c>
      <c r="J668" t="s">
        <v>2488</v>
      </c>
      <c r="K668" t="s">
        <v>2489</v>
      </c>
      <c r="L668" t="s">
        <v>2490</v>
      </c>
      <c r="M668" t="s">
        <v>2491</v>
      </c>
      <c r="N668" t="s">
        <v>20</v>
      </c>
    </row>
    <row r="669" spans="1:14">
      <c r="A669">
        <v>3239072</v>
      </c>
      <c r="B669" t="s">
        <v>2492</v>
      </c>
      <c r="C669" t="str">
        <f>"9788817370707"</f>
        <v>9788817370707</v>
      </c>
      <c r="D669" t="str">
        <f>"9788817370899"</f>
        <v>9788817370899</v>
      </c>
      <c r="E669" t="s">
        <v>2487</v>
      </c>
      <c r="F669" s="1">
        <v>41183</v>
      </c>
      <c r="G669" t="s">
        <v>16</v>
      </c>
      <c r="H669">
        <v>8</v>
      </c>
      <c r="J669" t="s">
        <v>2493</v>
      </c>
      <c r="K669" t="s">
        <v>2494</v>
      </c>
      <c r="L669">
        <v>333.79</v>
      </c>
      <c r="M669" t="s">
        <v>2495</v>
      </c>
      <c r="N669" t="s">
        <v>20</v>
      </c>
    </row>
    <row r="670" spans="1:14">
      <c r="A670">
        <v>3239090</v>
      </c>
      <c r="B670" t="s">
        <v>2496</v>
      </c>
      <c r="C670" t="str">
        <f>"9780881737165"</f>
        <v>9780881737165</v>
      </c>
      <c r="D670" t="str">
        <f>"9780881737172"</f>
        <v>9780881737172</v>
      </c>
      <c r="E670" t="s">
        <v>2487</v>
      </c>
      <c r="F670" s="1">
        <v>41821</v>
      </c>
      <c r="G670" t="s">
        <v>16</v>
      </c>
      <c r="H670">
        <v>3</v>
      </c>
      <c r="J670" t="s">
        <v>2497</v>
      </c>
      <c r="K670" t="s">
        <v>2498</v>
      </c>
      <c r="L670">
        <v>696</v>
      </c>
      <c r="M670" t="s">
        <v>2499</v>
      </c>
      <c r="N670" t="s">
        <v>20</v>
      </c>
    </row>
    <row r="671" spans="1:14">
      <c r="A671">
        <v>3299489</v>
      </c>
      <c r="B671" t="s">
        <v>2500</v>
      </c>
      <c r="C671" t="str">
        <f>"9781592371204"</f>
        <v>9781592371204</v>
      </c>
      <c r="D671" t="str">
        <f>"9781592371709"</f>
        <v>9781592371709</v>
      </c>
      <c r="E671" t="s">
        <v>2501</v>
      </c>
      <c r="F671" s="1">
        <v>39073</v>
      </c>
      <c r="G671" t="s">
        <v>16</v>
      </c>
      <c r="J671" t="s">
        <v>2502</v>
      </c>
      <c r="K671" t="s">
        <v>1233</v>
      </c>
      <c r="L671" t="s">
        <v>2503</v>
      </c>
      <c r="M671" t="s">
        <v>2504</v>
      </c>
      <c r="N671" t="s">
        <v>20</v>
      </c>
    </row>
    <row r="672" spans="1:14">
      <c r="A672">
        <v>3299491</v>
      </c>
      <c r="B672" t="s">
        <v>2505</v>
      </c>
      <c r="C672" t="str">
        <f>"9781592371167"</f>
        <v>9781592371167</v>
      </c>
      <c r="D672" t="str">
        <f>"9781592371723"</f>
        <v>9781592371723</v>
      </c>
      <c r="E672" t="s">
        <v>2501</v>
      </c>
      <c r="F672" s="1">
        <v>39073</v>
      </c>
      <c r="G672" t="s">
        <v>16</v>
      </c>
      <c r="J672" t="s">
        <v>2506</v>
      </c>
      <c r="K672" t="s">
        <v>2507</v>
      </c>
      <c r="L672">
        <v>355</v>
      </c>
      <c r="M672" t="s">
        <v>2508</v>
      </c>
      <c r="N672" t="s">
        <v>20</v>
      </c>
    </row>
    <row r="673" spans="1:14">
      <c r="A673">
        <v>3299493</v>
      </c>
      <c r="B673" t="s">
        <v>2509</v>
      </c>
      <c r="C673" t="str">
        <f>"9781592371143"</f>
        <v>9781592371143</v>
      </c>
      <c r="D673" t="str">
        <f>"9781592371716"</f>
        <v>9781592371716</v>
      </c>
      <c r="E673" t="s">
        <v>2501</v>
      </c>
      <c r="F673" s="1">
        <v>38838</v>
      </c>
      <c r="G673" t="s">
        <v>16</v>
      </c>
      <c r="J673" t="s">
        <v>2510</v>
      </c>
      <c r="K673" t="s">
        <v>2507</v>
      </c>
      <c r="L673" t="s">
        <v>2511</v>
      </c>
      <c r="M673" t="s">
        <v>2508</v>
      </c>
      <c r="N673" t="s">
        <v>20</v>
      </c>
    </row>
    <row r="674" spans="1:14">
      <c r="A674">
        <v>3299499</v>
      </c>
      <c r="B674" t="s">
        <v>2512</v>
      </c>
      <c r="C674" t="str">
        <f>"9781592371129"</f>
        <v>9781592371129</v>
      </c>
      <c r="D674" t="str">
        <f>"9781592372294"</f>
        <v>9781592372294</v>
      </c>
      <c r="E674" t="s">
        <v>2501</v>
      </c>
      <c r="F674" s="1">
        <v>38899</v>
      </c>
      <c r="G674" t="s">
        <v>16</v>
      </c>
      <c r="J674" t="s">
        <v>2513</v>
      </c>
      <c r="K674" t="s">
        <v>50</v>
      </c>
      <c r="L674">
        <v>920.06</v>
      </c>
      <c r="M674" t="s">
        <v>2514</v>
      </c>
      <c r="N674" t="s">
        <v>20</v>
      </c>
    </row>
    <row r="675" spans="1:14">
      <c r="A675">
        <v>3299522</v>
      </c>
      <c r="B675" t="s">
        <v>2515</v>
      </c>
      <c r="C675" t="str">
        <f>"9781592372911"</f>
        <v>9781592372911</v>
      </c>
      <c r="D675" t="str">
        <f>"9781592373024"</f>
        <v>9781592373024</v>
      </c>
      <c r="E675" t="s">
        <v>2501</v>
      </c>
      <c r="F675" s="1">
        <v>40095</v>
      </c>
      <c r="G675" t="s">
        <v>16</v>
      </c>
      <c r="H675">
        <v>2</v>
      </c>
      <c r="J675" t="s">
        <v>2516</v>
      </c>
      <c r="K675" t="s">
        <v>18</v>
      </c>
      <c r="L675">
        <v>810.9</v>
      </c>
      <c r="M675" t="s">
        <v>2517</v>
      </c>
      <c r="N675" t="s">
        <v>20</v>
      </c>
    </row>
    <row r="676" spans="1:14">
      <c r="A676">
        <v>3316147</v>
      </c>
      <c r="B676" t="s">
        <v>2518</v>
      </c>
      <c r="C676" t="str">
        <f>"9781573871143"</f>
        <v>9781573871143</v>
      </c>
      <c r="D676" t="str">
        <f>"9781573879675"</f>
        <v>9781573879675</v>
      </c>
      <c r="E676" t="s">
        <v>2519</v>
      </c>
      <c r="F676" s="1">
        <v>39873</v>
      </c>
      <c r="G676" t="s">
        <v>16</v>
      </c>
      <c r="J676" t="s">
        <v>2520</v>
      </c>
      <c r="K676" t="s">
        <v>2521</v>
      </c>
      <c r="L676" t="s">
        <v>2522</v>
      </c>
      <c r="M676" t="s">
        <v>2523</v>
      </c>
      <c r="N676" t="s">
        <v>20</v>
      </c>
    </row>
    <row r="677" spans="1:14">
      <c r="A677">
        <v>3316193</v>
      </c>
      <c r="B677" t="s">
        <v>2524</v>
      </c>
      <c r="C677" t="str">
        <f>"9781882926435"</f>
        <v>9781882926435</v>
      </c>
      <c r="D677" t="str">
        <f>"9781610170352"</f>
        <v>9781610170352</v>
      </c>
      <c r="E677" t="s">
        <v>2525</v>
      </c>
      <c r="F677" s="1">
        <v>36861</v>
      </c>
      <c r="G677" t="s">
        <v>16</v>
      </c>
      <c r="I677" t="s">
        <v>2526</v>
      </c>
      <c r="J677" t="s">
        <v>2527</v>
      </c>
      <c r="K677" t="s">
        <v>166</v>
      </c>
      <c r="M677" t="s">
        <v>2528</v>
      </c>
      <c r="N677" t="s">
        <v>20</v>
      </c>
    </row>
    <row r="678" spans="1:14">
      <c r="A678">
        <v>3316228</v>
      </c>
      <c r="B678" t="s">
        <v>2529</v>
      </c>
      <c r="C678" t="str">
        <f>"9781882926411"</f>
        <v>9781882926411</v>
      </c>
      <c r="D678" t="str">
        <f>"9781610170437"</f>
        <v>9781610170437</v>
      </c>
      <c r="E678" t="s">
        <v>2525</v>
      </c>
      <c r="F678" s="1">
        <v>36708</v>
      </c>
      <c r="G678" t="s">
        <v>16</v>
      </c>
      <c r="I678" t="s">
        <v>2526</v>
      </c>
      <c r="J678" t="s">
        <v>2530</v>
      </c>
      <c r="K678" t="s">
        <v>753</v>
      </c>
      <c r="L678" t="s">
        <v>2531</v>
      </c>
      <c r="M678" t="s">
        <v>2532</v>
      </c>
      <c r="N678" t="s">
        <v>20</v>
      </c>
    </row>
    <row r="679" spans="1:14">
      <c r="A679">
        <v>3316232</v>
      </c>
      <c r="B679" t="s">
        <v>2533</v>
      </c>
      <c r="C679" t="str">
        <f>"9781882926398"</f>
        <v>9781882926398</v>
      </c>
      <c r="D679" t="str">
        <f>"9781610170345"</f>
        <v>9781610170345</v>
      </c>
      <c r="E679" t="s">
        <v>2525</v>
      </c>
      <c r="F679" s="1">
        <v>36465</v>
      </c>
      <c r="G679" t="s">
        <v>16</v>
      </c>
      <c r="I679" t="s">
        <v>2526</v>
      </c>
      <c r="J679" t="s">
        <v>2534</v>
      </c>
      <c r="K679" t="s">
        <v>138</v>
      </c>
      <c r="L679">
        <v>100</v>
      </c>
      <c r="M679" t="s">
        <v>2535</v>
      </c>
      <c r="N679" t="s">
        <v>20</v>
      </c>
    </row>
    <row r="680" spans="1:14">
      <c r="A680">
        <v>3316238</v>
      </c>
      <c r="B680" t="s">
        <v>2536</v>
      </c>
      <c r="C680" t="str">
        <f>"9781882926459"</f>
        <v>9781882926459</v>
      </c>
      <c r="D680" t="str">
        <f>"9781610170383"</f>
        <v>9781610170383</v>
      </c>
      <c r="E680" t="s">
        <v>2525</v>
      </c>
      <c r="F680" s="1">
        <v>36770</v>
      </c>
      <c r="G680" t="s">
        <v>16</v>
      </c>
      <c r="I680" t="s">
        <v>2526</v>
      </c>
      <c r="J680" t="s">
        <v>2537</v>
      </c>
      <c r="K680" t="s">
        <v>50</v>
      </c>
      <c r="M680" t="s">
        <v>2538</v>
      </c>
      <c r="N680" t="s">
        <v>20</v>
      </c>
    </row>
    <row r="681" spans="1:14">
      <c r="A681">
        <v>3316244</v>
      </c>
      <c r="B681" t="s">
        <v>2539</v>
      </c>
      <c r="C681" t="str">
        <f>"9781882926954"</f>
        <v>9781882926954</v>
      </c>
      <c r="D681" t="str">
        <f>"9781610170413"</f>
        <v>9781610170413</v>
      </c>
      <c r="E681" t="s">
        <v>2525</v>
      </c>
      <c r="F681" s="1">
        <v>37591</v>
      </c>
      <c r="G681" t="s">
        <v>16</v>
      </c>
      <c r="I681" t="s">
        <v>2526</v>
      </c>
      <c r="J681" t="s">
        <v>2540</v>
      </c>
      <c r="K681" t="s">
        <v>394</v>
      </c>
      <c r="L681">
        <v>150</v>
      </c>
      <c r="M681" t="s">
        <v>2541</v>
      </c>
      <c r="N681" t="s">
        <v>20</v>
      </c>
    </row>
    <row r="682" spans="1:14">
      <c r="A682">
        <v>3316247</v>
      </c>
      <c r="B682" t="s">
        <v>2542</v>
      </c>
      <c r="C682" t="str">
        <f>"9781932236156"</f>
        <v>9781932236156</v>
      </c>
      <c r="D682" t="str">
        <f>"9781610170321"</f>
        <v>9781610170321</v>
      </c>
      <c r="E682" t="s">
        <v>2525</v>
      </c>
      <c r="F682" s="1">
        <v>37956</v>
      </c>
      <c r="G682" t="s">
        <v>16</v>
      </c>
      <c r="I682" t="s">
        <v>2526</v>
      </c>
      <c r="J682" t="s">
        <v>2543</v>
      </c>
      <c r="K682" t="s">
        <v>18</v>
      </c>
      <c r="L682" t="s">
        <v>2544</v>
      </c>
      <c r="M682" t="s">
        <v>2545</v>
      </c>
      <c r="N682" t="s">
        <v>20</v>
      </c>
    </row>
    <row r="683" spans="1:14">
      <c r="A683">
        <v>3316252</v>
      </c>
      <c r="B683" t="s">
        <v>2546</v>
      </c>
      <c r="C683" t="str">
        <f>"9781882926404"</f>
        <v>9781882926404</v>
      </c>
      <c r="D683" t="str">
        <f>"9781610170376"</f>
        <v>9781610170376</v>
      </c>
      <c r="E683" t="s">
        <v>2525</v>
      </c>
      <c r="F683" s="1">
        <v>36586</v>
      </c>
      <c r="G683" t="s">
        <v>16</v>
      </c>
      <c r="I683" t="s">
        <v>2526</v>
      </c>
      <c r="J683" t="s">
        <v>2547</v>
      </c>
      <c r="K683" t="s">
        <v>18</v>
      </c>
      <c r="L683">
        <v>809</v>
      </c>
      <c r="M683" t="s">
        <v>2548</v>
      </c>
      <c r="N683" t="s">
        <v>20</v>
      </c>
    </row>
    <row r="684" spans="1:14">
      <c r="A684">
        <v>3316806</v>
      </c>
      <c r="B684" t="s">
        <v>2549</v>
      </c>
      <c r="C684" t="str">
        <f>"9780830829439"</f>
        <v>9780830829439</v>
      </c>
      <c r="D684" t="str">
        <f>"9780830897179"</f>
        <v>9780830897179</v>
      </c>
      <c r="E684" t="s">
        <v>2344</v>
      </c>
      <c r="F684" s="1">
        <v>41726</v>
      </c>
      <c r="G684" t="s">
        <v>16</v>
      </c>
      <c r="J684" t="s">
        <v>2550</v>
      </c>
      <c r="K684" t="s">
        <v>94</v>
      </c>
      <c r="L684">
        <v>270.10300000000001</v>
      </c>
      <c r="M684" t="s">
        <v>2551</v>
      </c>
      <c r="N684" t="s">
        <v>20</v>
      </c>
    </row>
    <row r="685" spans="1:14">
      <c r="A685">
        <v>3318589</v>
      </c>
      <c r="B685" t="s">
        <v>2552</v>
      </c>
      <c r="C685" t="str">
        <f>"9781421406183"</f>
        <v>9781421406183</v>
      </c>
      <c r="D685" t="str">
        <f>"9781421407463"</f>
        <v>9781421407463</v>
      </c>
      <c r="E685" t="s">
        <v>2553</v>
      </c>
      <c r="F685" s="1">
        <v>41228</v>
      </c>
      <c r="G685" t="s">
        <v>16</v>
      </c>
      <c r="H685">
        <v>2</v>
      </c>
      <c r="J685" t="s">
        <v>2554</v>
      </c>
      <c r="K685" t="s">
        <v>837</v>
      </c>
      <c r="L685" t="s">
        <v>2555</v>
      </c>
      <c r="M685" t="s">
        <v>2556</v>
      </c>
      <c r="N685" t="s">
        <v>20</v>
      </c>
    </row>
    <row r="686" spans="1:14">
      <c r="A686">
        <v>3318621</v>
      </c>
      <c r="B686" t="s">
        <v>2557</v>
      </c>
      <c r="C686" t="str">
        <f>"9781421404691"</f>
        <v>9781421404691</v>
      </c>
      <c r="D686" t="str">
        <f>"9781421408682"</f>
        <v>9781421408682</v>
      </c>
      <c r="E686" t="s">
        <v>2553</v>
      </c>
      <c r="F686" s="1">
        <v>41153</v>
      </c>
      <c r="G686" t="s">
        <v>16</v>
      </c>
      <c r="J686" t="s">
        <v>2558</v>
      </c>
      <c r="K686" t="s">
        <v>43</v>
      </c>
      <c r="L686">
        <v>599.36</v>
      </c>
      <c r="M686" t="s">
        <v>2559</v>
      </c>
      <c r="N686" t="s">
        <v>20</v>
      </c>
    </row>
    <row r="687" spans="1:14">
      <c r="A687">
        <v>3318723</v>
      </c>
      <c r="B687" t="s">
        <v>2560</v>
      </c>
      <c r="C687" t="str">
        <f>"9781421410982"</f>
        <v>9781421410982</v>
      </c>
      <c r="D687" t="str">
        <f>"9781421410999"</f>
        <v>9781421410999</v>
      </c>
      <c r="E687" t="s">
        <v>2553</v>
      </c>
      <c r="F687" s="1">
        <v>41624</v>
      </c>
      <c r="G687" t="s">
        <v>16</v>
      </c>
      <c r="J687" t="s">
        <v>2561</v>
      </c>
      <c r="K687" t="s">
        <v>39</v>
      </c>
      <c r="L687">
        <v>510.14</v>
      </c>
      <c r="M687" t="s">
        <v>39</v>
      </c>
      <c r="N687" t="s">
        <v>20</v>
      </c>
    </row>
    <row r="688" spans="1:14">
      <c r="A688">
        <v>3318802</v>
      </c>
      <c r="B688" t="s">
        <v>2562</v>
      </c>
      <c r="C688" t="str">
        <f>"9781421412238"</f>
        <v>9781421412238</v>
      </c>
      <c r="D688" t="str">
        <f>"9781421412252"</f>
        <v>9781421412252</v>
      </c>
      <c r="E688" t="s">
        <v>2553</v>
      </c>
      <c r="F688" s="1">
        <v>41744</v>
      </c>
      <c r="G688" t="s">
        <v>16</v>
      </c>
      <c r="J688" t="s">
        <v>2563</v>
      </c>
      <c r="K688" t="s">
        <v>55</v>
      </c>
      <c r="L688" t="s">
        <v>1186</v>
      </c>
      <c r="M688" t="s">
        <v>2564</v>
      </c>
      <c r="N688" t="s">
        <v>20</v>
      </c>
    </row>
    <row r="689" spans="1:14">
      <c r="A689">
        <v>3318832</v>
      </c>
      <c r="B689" t="s">
        <v>2565</v>
      </c>
      <c r="C689" t="str">
        <f>"9781421412016"</f>
        <v>9781421412016</v>
      </c>
      <c r="D689" t="str">
        <f>"9781421412023"</f>
        <v>9781421412023</v>
      </c>
      <c r="E689" t="s">
        <v>2553</v>
      </c>
      <c r="F689" s="1">
        <v>41805</v>
      </c>
      <c r="G689" t="s">
        <v>16</v>
      </c>
      <c r="J689" t="s">
        <v>2566</v>
      </c>
      <c r="K689" t="s">
        <v>43</v>
      </c>
      <c r="L689">
        <v>597.17600000000004</v>
      </c>
      <c r="M689" t="s">
        <v>2567</v>
      </c>
      <c r="N689" t="s">
        <v>20</v>
      </c>
    </row>
    <row r="690" spans="1:14">
      <c r="A690">
        <v>3318838</v>
      </c>
      <c r="B690" t="s">
        <v>2568</v>
      </c>
      <c r="C690" t="str">
        <f>"9781421414423"</f>
        <v>9781421414423</v>
      </c>
      <c r="D690" t="str">
        <f>"9781421414430"</f>
        <v>9781421414430</v>
      </c>
      <c r="E690" t="s">
        <v>2553</v>
      </c>
      <c r="F690" s="1">
        <v>41932</v>
      </c>
      <c r="G690" t="s">
        <v>16</v>
      </c>
      <c r="J690" t="s">
        <v>2569</v>
      </c>
      <c r="K690" t="s">
        <v>138</v>
      </c>
      <c r="L690">
        <v>133.59399999999999</v>
      </c>
      <c r="M690" t="s">
        <v>2570</v>
      </c>
      <c r="N690" t="s">
        <v>20</v>
      </c>
    </row>
    <row r="691" spans="1:14">
      <c r="A691">
        <v>3328982</v>
      </c>
      <c r="B691" t="s">
        <v>2571</v>
      </c>
      <c r="C691" t="str">
        <f>"9781588265562"</f>
        <v>9781588265562</v>
      </c>
      <c r="D691" t="str">
        <f>"9781588269959"</f>
        <v>9781588269959</v>
      </c>
      <c r="E691" t="s">
        <v>2572</v>
      </c>
      <c r="F691" s="1">
        <v>39448</v>
      </c>
      <c r="G691" t="s">
        <v>16</v>
      </c>
      <c r="J691" t="s">
        <v>2573</v>
      </c>
      <c r="K691" t="s">
        <v>166</v>
      </c>
      <c r="L691" t="s">
        <v>2574</v>
      </c>
      <c r="M691" t="s">
        <v>2575</v>
      </c>
      <c r="N691" t="s">
        <v>20</v>
      </c>
    </row>
    <row r="692" spans="1:14">
      <c r="A692">
        <v>3329073</v>
      </c>
      <c r="B692" t="s">
        <v>2576</v>
      </c>
      <c r="C692" t="str">
        <f>"9781555872298"</f>
        <v>9781555872298</v>
      </c>
      <c r="D692" t="str">
        <f>"9781588269850"</f>
        <v>9781588269850</v>
      </c>
      <c r="E692" t="s">
        <v>2572</v>
      </c>
      <c r="F692" s="1">
        <v>36557</v>
      </c>
      <c r="G692" t="s">
        <v>16</v>
      </c>
      <c r="J692" t="s">
        <v>2577</v>
      </c>
      <c r="K692" t="s">
        <v>50</v>
      </c>
      <c r="L692">
        <v>920.06200000000001</v>
      </c>
      <c r="M692" t="s">
        <v>2578</v>
      </c>
      <c r="N692" t="s">
        <v>20</v>
      </c>
    </row>
    <row r="693" spans="1:14">
      <c r="A693">
        <v>3329074</v>
      </c>
      <c r="B693" t="s">
        <v>2579</v>
      </c>
      <c r="C693" t="str">
        <f>"9781588266866"</f>
        <v>9781588266866</v>
      </c>
      <c r="D693" t="str">
        <f>"9781588269621"</f>
        <v>9781588269621</v>
      </c>
      <c r="E693" t="s">
        <v>2572</v>
      </c>
      <c r="F693" s="1">
        <v>40057</v>
      </c>
      <c r="G693" t="s">
        <v>16</v>
      </c>
      <c r="J693" t="s">
        <v>2580</v>
      </c>
      <c r="K693" t="s">
        <v>50</v>
      </c>
      <c r="L693">
        <v>956.0403</v>
      </c>
      <c r="M693" t="s">
        <v>2581</v>
      </c>
      <c r="N693" t="s">
        <v>20</v>
      </c>
    </row>
    <row r="694" spans="1:14">
      <c r="A694">
        <v>3330284</v>
      </c>
      <c r="B694" t="s">
        <v>2582</v>
      </c>
      <c r="C694" t="str">
        <f>"9780761475835"</f>
        <v>9780761475835</v>
      </c>
      <c r="D694" t="str">
        <f>"9780761499008"</f>
        <v>9780761499008</v>
      </c>
      <c r="E694" t="s">
        <v>2583</v>
      </c>
      <c r="F694" s="1">
        <v>36526</v>
      </c>
      <c r="G694" t="s">
        <v>16</v>
      </c>
      <c r="H694">
        <v>2</v>
      </c>
      <c r="J694" t="s">
        <v>2584</v>
      </c>
      <c r="K694" t="s">
        <v>2585</v>
      </c>
      <c r="L694" t="s">
        <v>2586</v>
      </c>
      <c r="M694" t="s">
        <v>2587</v>
      </c>
      <c r="N694" t="s">
        <v>20</v>
      </c>
    </row>
    <row r="695" spans="1:14">
      <c r="A695">
        <v>3330287</v>
      </c>
      <c r="B695" t="s">
        <v>2588</v>
      </c>
      <c r="C695" t="str">
        <f>"9780761474685"</f>
        <v>9780761474685</v>
      </c>
      <c r="D695" t="str">
        <f>"9780761499190"</f>
        <v>9780761499190</v>
      </c>
      <c r="E695" t="s">
        <v>2583</v>
      </c>
      <c r="F695" s="1">
        <v>36526</v>
      </c>
      <c r="G695" t="s">
        <v>16</v>
      </c>
      <c r="J695" t="s">
        <v>2589</v>
      </c>
      <c r="K695" t="s">
        <v>18</v>
      </c>
      <c r="L695" t="s">
        <v>2590</v>
      </c>
      <c r="M695" t="s">
        <v>2591</v>
      </c>
      <c r="N695" t="s">
        <v>20</v>
      </c>
    </row>
    <row r="696" spans="1:14">
      <c r="A696">
        <v>3330291</v>
      </c>
      <c r="B696" t="s">
        <v>2592</v>
      </c>
      <c r="C696" t="str">
        <f>"9780761478454"</f>
        <v>9780761478454</v>
      </c>
      <c r="D696" t="str">
        <f>"9780761499220"</f>
        <v>9780761499220</v>
      </c>
      <c r="E696" t="s">
        <v>2583</v>
      </c>
      <c r="F696" s="1">
        <v>40179</v>
      </c>
      <c r="G696" t="s">
        <v>16</v>
      </c>
      <c r="H696">
        <v>4</v>
      </c>
      <c r="J696" t="s">
        <v>2593</v>
      </c>
      <c r="K696" t="s">
        <v>155</v>
      </c>
      <c r="L696">
        <v>610.29999999999995</v>
      </c>
      <c r="M696" t="s">
        <v>2594</v>
      </c>
      <c r="N696" t="s">
        <v>20</v>
      </c>
    </row>
    <row r="697" spans="1:14">
      <c r="A697">
        <v>3330293</v>
      </c>
      <c r="B697" t="s">
        <v>2595</v>
      </c>
      <c r="C697" t="str">
        <f>"9780761474180"</f>
        <v>9780761474180</v>
      </c>
      <c r="D697" t="str">
        <f>"9780761499480"</f>
        <v>9780761499480</v>
      </c>
      <c r="E697" t="s">
        <v>2583</v>
      </c>
      <c r="F697" s="1">
        <v>37987</v>
      </c>
      <c r="G697" t="s">
        <v>16</v>
      </c>
      <c r="J697" t="s">
        <v>2596</v>
      </c>
      <c r="K697" t="s">
        <v>603</v>
      </c>
      <c r="L697" t="s">
        <v>2597</v>
      </c>
      <c r="M697" t="s">
        <v>2598</v>
      </c>
      <c r="N697" t="s">
        <v>20</v>
      </c>
    </row>
    <row r="698" spans="1:14">
      <c r="A698">
        <v>3330295</v>
      </c>
      <c r="B698" t="s">
        <v>2599</v>
      </c>
      <c r="C698" t="str">
        <f>"9780761474425"</f>
        <v>9780761474425</v>
      </c>
      <c r="D698" t="str">
        <f>"9780761499022"</f>
        <v>9780761499022</v>
      </c>
      <c r="E698" t="s">
        <v>2583</v>
      </c>
      <c r="F698" s="1">
        <v>37956</v>
      </c>
      <c r="G698" t="s">
        <v>16</v>
      </c>
      <c r="H698">
        <v>2</v>
      </c>
      <c r="J698" t="s">
        <v>2600</v>
      </c>
      <c r="K698" t="s">
        <v>1182</v>
      </c>
      <c r="L698" t="s">
        <v>2601</v>
      </c>
      <c r="M698" t="s">
        <v>2602</v>
      </c>
      <c r="N698" t="s">
        <v>20</v>
      </c>
    </row>
    <row r="699" spans="1:14">
      <c r="A699">
        <v>3338861</v>
      </c>
      <c r="B699" t="s">
        <v>2603</v>
      </c>
      <c r="C699" t="str">
        <f>"9780262062794"</f>
        <v>9780262062794</v>
      </c>
      <c r="D699" t="str">
        <f>"9780262273275"</f>
        <v>9780262273275</v>
      </c>
      <c r="E699" t="s">
        <v>2604</v>
      </c>
      <c r="F699" s="1">
        <v>39556</v>
      </c>
      <c r="G699" t="s">
        <v>16</v>
      </c>
      <c r="H699">
        <v>3</v>
      </c>
      <c r="I699" t="s">
        <v>2605</v>
      </c>
      <c r="J699" t="s">
        <v>2606</v>
      </c>
      <c r="K699" t="s">
        <v>710</v>
      </c>
      <c r="L699">
        <v>5.13</v>
      </c>
      <c r="M699" t="s">
        <v>2607</v>
      </c>
      <c r="N699" t="s">
        <v>20</v>
      </c>
    </row>
    <row r="700" spans="1:14">
      <c r="A700">
        <v>3339439</v>
      </c>
      <c r="B700" t="s">
        <v>2608</v>
      </c>
      <c r="C700" t="str">
        <f>"9780262017190"</f>
        <v>9780262017190</v>
      </c>
      <c r="D700" t="str">
        <f>"9780262301190"</f>
        <v>9780262301190</v>
      </c>
      <c r="E700" t="s">
        <v>2604</v>
      </c>
      <c r="F700" s="1">
        <v>41026</v>
      </c>
      <c r="G700" t="s">
        <v>16</v>
      </c>
      <c r="I700" t="s">
        <v>2605</v>
      </c>
      <c r="J700" t="s">
        <v>2609</v>
      </c>
      <c r="K700" t="s">
        <v>2317</v>
      </c>
      <c r="L700" t="s">
        <v>2610</v>
      </c>
      <c r="M700" t="s">
        <v>2611</v>
      </c>
      <c r="N700" t="s">
        <v>20</v>
      </c>
    </row>
    <row r="701" spans="1:14">
      <c r="A701">
        <v>3339457</v>
      </c>
      <c r="B701" t="s">
        <v>2612</v>
      </c>
      <c r="C701" t="str">
        <f>"9780262517676"</f>
        <v>9780262517676</v>
      </c>
      <c r="D701" t="str">
        <f>"9780262310383"</f>
        <v>9780262310383</v>
      </c>
      <c r="E701" t="s">
        <v>2604</v>
      </c>
      <c r="F701" s="1">
        <v>41075</v>
      </c>
      <c r="G701" t="s">
        <v>16</v>
      </c>
      <c r="I701" t="s">
        <v>2613</v>
      </c>
      <c r="J701" t="s">
        <v>2614</v>
      </c>
      <c r="K701" t="s">
        <v>710</v>
      </c>
      <c r="L701">
        <v>4</v>
      </c>
      <c r="M701" t="s">
        <v>2615</v>
      </c>
      <c r="N701" t="s">
        <v>20</v>
      </c>
    </row>
    <row r="702" spans="1:14">
      <c r="A702">
        <v>3339585</v>
      </c>
      <c r="B702" t="s">
        <v>2616</v>
      </c>
      <c r="C702" t="str">
        <f>"9780262518802"</f>
        <v>9780262518802</v>
      </c>
      <c r="D702" t="str">
        <f>"9780262313223"</f>
        <v>9780262313223</v>
      </c>
      <c r="E702" t="s">
        <v>2604</v>
      </c>
      <c r="F702" s="1">
        <v>41334</v>
      </c>
      <c r="G702" t="s">
        <v>16</v>
      </c>
      <c r="I702" t="s">
        <v>2605</v>
      </c>
      <c r="J702" t="s">
        <v>2617</v>
      </c>
      <c r="K702" t="s">
        <v>710</v>
      </c>
      <c r="L702">
        <v>5.0999999999999996</v>
      </c>
      <c r="M702" t="s">
        <v>2618</v>
      </c>
      <c r="N702" t="s">
        <v>20</v>
      </c>
    </row>
    <row r="703" spans="1:14">
      <c r="A703">
        <v>3339617</v>
      </c>
      <c r="B703" t="s">
        <v>2619</v>
      </c>
      <c r="C703" t="str">
        <f>"9780262019095"</f>
        <v>9780262019095</v>
      </c>
      <c r="D703" t="str">
        <f>"9780262314305"</f>
        <v>9780262314305</v>
      </c>
      <c r="E703" t="s">
        <v>2604</v>
      </c>
      <c r="F703" s="1">
        <v>41383</v>
      </c>
      <c r="G703" t="s">
        <v>16</v>
      </c>
      <c r="I703" t="s">
        <v>2605</v>
      </c>
      <c r="J703" t="s">
        <v>2620</v>
      </c>
      <c r="K703" t="s">
        <v>35</v>
      </c>
      <c r="L703">
        <v>777.70899999999995</v>
      </c>
      <c r="M703" t="s">
        <v>2621</v>
      </c>
      <c r="N703" t="s">
        <v>20</v>
      </c>
    </row>
    <row r="704" spans="1:14">
      <c r="A704">
        <v>3339619</v>
      </c>
      <c r="B704" t="s">
        <v>2622</v>
      </c>
      <c r="C704" t="str">
        <f>"9780262518475"</f>
        <v>9780262518475</v>
      </c>
      <c r="D704" t="str">
        <f>"9780262314244"</f>
        <v>9780262314244</v>
      </c>
      <c r="E704" t="s">
        <v>2604</v>
      </c>
      <c r="F704" s="1">
        <v>41404</v>
      </c>
      <c r="G704" t="s">
        <v>16</v>
      </c>
      <c r="I704" t="s">
        <v>2623</v>
      </c>
      <c r="J704" t="s">
        <v>2624</v>
      </c>
      <c r="K704" t="s">
        <v>710</v>
      </c>
      <c r="L704">
        <v>4.0190000000000001</v>
      </c>
      <c r="M704" t="s">
        <v>2625</v>
      </c>
      <c r="N704" t="s">
        <v>20</v>
      </c>
    </row>
    <row r="705" spans="1:14">
      <c r="A705">
        <v>3339648</v>
      </c>
      <c r="B705" t="s">
        <v>2626</v>
      </c>
      <c r="C705" t="str">
        <f>"9780262519588"</f>
        <v>9780262519588</v>
      </c>
      <c r="D705" t="str">
        <f>"9780262316569"</f>
        <v>9780262316569</v>
      </c>
      <c r="E705" t="s">
        <v>2604</v>
      </c>
      <c r="F705" s="1">
        <v>41502</v>
      </c>
      <c r="G705" t="s">
        <v>16</v>
      </c>
      <c r="H705">
        <v>3</v>
      </c>
      <c r="I705" t="s">
        <v>2605</v>
      </c>
      <c r="J705" t="s">
        <v>2627</v>
      </c>
      <c r="K705" t="s">
        <v>2628</v>
      </c>
      <c r="L705" t="s">
        <v>2629</v>
      </c>
      <c r="M705" t="s">
        <v>2630</v>
      </c>
      <c r="N705" t="s">
        <v>20</v>
      </c>
    </row>
    <row r="706" spans="1:14">
      <c r="A706">
        <v>3339690</v>
      </c>
      <c r="B706" t="s">
        <v>2631</v>
      </c>
      <c r="C706" t="str">
        <f>"9780262525435"</f>
        <v>9780262525435</v>
      </c>
      <c r="D706" t="str">
        <f>"9780262317696"</f>
        <v>9780262317696</v>
      </c>
      <c r="E706" t="s">
        <v>2604</v>
      </c>
      <c r="F706" s="1">
        <v>41551</v>
      </c>
      <c r="G706" t="s">
        <v>16</v>
      </c>
      <c r="I706" t="s">
        <v>2623</v>
      </c>
      <c r="J706" t="s">
        <v>2632</v>
      </c>
      <c r="K706" t="s">
        <v>55</v>
      </c>
      <c r="L706">
        <v>302</v>
      </c>
      <c r="M706" t="s">
        <v>2633</v>
      </c>
      <c r="N706" t="s">
        <v>20</v>
      </c>
    </row>
    <row r="707" spans="1:14">
      <c r="A707">
        <v>3339703</v>
      </c>
      <c r="B707" t="s">
        <v>2634</v>
      </c>
      <c r="C707" t="str">
        <f>"9780262019163"</f>
        <v>9780262019163</v>
      </c>
      <c r="D707" t="str">
        <f>"9780262317900"</f>
        <v>9780262317900</v>
      </c>
      <c r="E707" t="s">
        <v>2604</v>
      </c>
      <c r="F707" s="1">
        <v>41572</v>
      </c>
      <c r="G707" t="s">
        <v>16</v>
      </c>
      <c r="I707" t="s">
        <v>2605</v>
      </c>
      <c r="J707" t="s">
        <v>2635</v>
      </c>
      <c r="K707" t="s">
        <v>2636</v>
      </c>
      <c r="L707">
        <v>612.84</v>
      </c>
      <c r="M707" t="s">
        <v>2637</v>
      </c>
      <c r="N707" t="s">
        <v>20</v>
      </c>
    </row>
    <row r="708" spans="1:14">
      <c r="A708">
        <v>3339724</v>
      </c>
      <c r="B708" t="s">
        <v>2638</v>
      </c>
      <c r="C708" t="str">
        <f>"9780262019736"</f>
        <v>9780262019736</v>
      </c>
      <c r="D708" t="str">
        <f>"9780262314404"</f>
        <v>9780262314404</v>
      </c>
      <c r="E708" t="s">
        <v>2604</v>
      </c>
      <c r="F708" s="1">
        <v>41635</v>
      </c>
      <c r="G708" t="s">
        <v>16</v>
      </c>
      <c r="I708" t="s">
        <v>2605</v>
      </c>
      <c r="J708" t="s">
        <v>2639</v>
      </c>
      <c r="K708" t="s">
        <v>552</v>
      </c>
      <c r="L708">
        <v>339</v>
      </c>
      <c r="M708" t="s">
        <v>2640</v>
      </c>
      <c r="N708" t="s">
        <v>20</v>
      </c>
    </row>
    <row r="709" spans="1:14">
      <c r="A709">
        <v>3339730</v>
      </c>
      <c r="B709" t="s">
        <v>2641</v>
      </c>
      <c r="C709" t="str">
        <f>"9780262526197"</f>
        <v>9780262526197</v>
      </c>
      <c r="D709" t="str">
        <f>"9780262320238"</f>
        <v>9780262320238</v>
      </c>
      <c r="E709" t="s">
        <v>2604</v>
      </c>
      <c r="F709" s="1">
        <v>41663</v>
      </c>
      <c r="G709" t="s">
        <v>16</v>
      </c>
      <c r="I709" t="s">
        <v>2605</v>
      </c>
      <c r="J709" t="s">
        <v>2642</v>
      </c>
      <c r="K709" t="s">
        <v>2643</v>
      </c>
      <c r="L709" t="s">
        <v>2644</v>
      </c>
      <c r="M709" t="s">
        <v>2645</v>
      </c>
      <c r="N709" t="s">
        <v>20</v>
      </c>
    </row>
    <row r="710" spans="1:14">
      <c r="A710">
        <v>3339814</v>
      </c>
      <c r="B710" t="s">
        <v>2646</v>
      </c>
      <c r="C710" t="str">
        <f>"9780262027397"</f>
        <v>9780262027397</v>
      </c>
      <c r="D710" t="str">
        <f>"9780262323505"</f>
        <v>9780262323505</v>
      </c>
      <c r="E710" t="s">
        <v>2604</v>
      </c>
      <c r="F710" s="1">
        <v>41789</v>
      </c>
      <c r="G710" t="s">
        <v>16</v>
      </c>
      <c r="H710">
        <v>6</v>
      </c>
      <c r="I710" t="s">
        <v>2605</v>
      </c>
      <c r="J710" t="s">
        <v>2647</v>
      </c>
      <c r="K710" t="s">
        <v>269</v>
      </c>
      <c r="L710" t="s">
        <v>2648</v>
      </c>
      <c r="M710" t="s">
        <v>2649</v>
      </c>
      <c r="N710" t="s">
        <v>20</v>
      </c>
    </row>
    <row r="711" spans="1:14">
      <c r="A711">
        <v>3339846</v>
      </c>
      <c r="B711" t="s">
        <v>2650</v>
      </c>
      <c r="C711" t="str">
        <f>"9780262527101"</f>
        <v>9780262527101</v>
      </c>
      <c r="D711" t="str">
        <f>"9780262319300"</f>
        <v>9780262319300</v>
      </c>
      <c r="E711" t="s">
        <v>2604</v>
      </c>
      <c r="F711" s="1">
        <v>41859</v>
      </c>
      <c r="G711" t="s">
        <v>16</v>
      </c>
      <c r="I711" t="s">
        <v>2623</v>
      </c>
      <c r="J711" t="s">
        <v>2651</v>
      </c>
      <c r="K711" t="s">
        <v>394</v>
      </c>
      <c r="L711">
        <v>153</v>
      </c>
      <c r="M711" t="s">
        <v>2652</v>
      </c>
      <c r="N711" t="s">
        <v>20</v>
      </c>
    </row>
    <row r="712" spans="1:14">
      <c r="A712">
        <v>3339848</v>
      </c>
      <c r="B712" t="s">
        <v>2653</v>
      </c>
      <c r="C712" t="str">
        <f>"9780262526432"</f>
        <v>9780262526432</v>
      </c>
      <c r="D712" t="str">
        <f>"9780262321129"</f>
        <v>9780262321129</v>
      </c>
      <c r="E712" t="s">
        <v>2604</v>
      </c>
      <c r="F712" s="1">
        <v>41866</v>
      </c>
      <c r="G712" t="s">
        <v>16</v>
      </c>
      <c r="I712" t="s">
        <v>2623</v>
      </c>
      <c r="J712" t="s">
        <v>2654</v>
      </c>
      <c r="K712" t="s">
        <v>138</v>
      </c>
      <c r="L712" t="s">
        <v>2655</v>
      </c>
      <c r="M712" t="s">
        <v>2656</v>
      </c>
      <c r="N712" t="s">
        <v>20</v>
      </c>
    </row>
    <row r="713" spans="1:14">
      <c r="A713">
        <v>3339873</v>
      </c>
      <c r="B713" t="s">
        <v>2657</v>
      </c>
      <c r="C713" t="str">
        <f>"9780262526913"</f>
        <v>9780262526913</v>
      </c>
      <c r="D713" t="str">
        <f>"9780262322980"</f>
        <v>9780262322980</v>
      </c>
      <c r="E713" t="s">
        <v>2604</v>
      </c>
      <c r="F713" s="1">
        <v>41908</v>
      </c>
      <c r="G713" t="s">
        <v>16</v>
      </c>
      <c r="I713" t="s">
        <v>2623</v>
      </c>
      <c r="J713" t="s">
        <v>2658</v>
      </c>
      <c r="K713" t="s">
        <v>408</v>
      </c>
      <c r="L713">
        <v>371.33446780000003</v>
      </c>
      <c r="M713" t="s">
        <v>2659</v>
      </c>
      <c r="N713" t="s">
        <v>20</v>
      </c>
    </row>
    <row r="714" spans="1:14">
      <c r="A714">
        <v>3339919</v>
      </c>
      <c r="B714" t="s">
        <v>2660</v>
      </c>
      <c r="C714" t="str">
        <f>"9780262028592"</f>
        <v>9780262028592</v>
      </c>
      <c r="D714" t="str">
        <f>"9780262327701"</f>
        <v>9780262327701</v>
      </c>
      <c r="E714" t="s">
        <v>2604</v>
      </c>
      <c r="F714" s="1">
        <v>41985</v>
      </c>
      <c r="G714" t="s">
        <v>16</v>
      </c>
      <c r="I714" t="s">
        <v>2605</v>
      </c>
      <c r="J714" t="s">
        <v>2661</v>
      </c>
      <c r="K714" t="s">
        <v>502</v>
      </c>
      <c r="L714" t="s">
        <v>2662</v>
      </c>
      <c r="M714" t="s">
        <v>2663</v>
      </c>
      <c r="N714" t="s">
        <v>20</v>
      </c>
    </row>
    <row r="715" spans="1:14">
      <c r="A715">
        <v>3339924</v>
      </c>
      <c r="B715" t="s">
        <v>2664</v>
      </c>
      <c r="C715" t="str">
        <f>"9780262028288"</f>
        <v>9780262028288</v>
      </c>
      <c r="D715" t="str">
        <f>"9780262321853"</f>
        <v>9780262321853</v>
      </c>
      <c r="E715" t="s">
        <v>2604</v>
      </c>
      <c r="F715" s="1">
        <v>41992</v>
      </c>
      <c r="G715" t="s">
        <v>16</v>
      </c>
      <c r="H715">
        <v>2</v>
      </c>
      <c r="I715" t="s">
        <v>2605</v>
      </c>
      <c r="J715" t="s">
        <v>2665</v>
      </c>
      <c r="K715" t="s">
        <v>710</v>
      </c>
      <c r="L715">
        <v>6.6028500000000001</v>
      </c>
      <c r="M715" t="s">
        <v>2666</v>
      </c>
      <c r="N715" t="s">
        <v>20</v>
      </c>
    </row>
    <row r="716" spans="1:14">
      <c r="A716">
        <v>3339987</v>
      </c>
      <c r="B716" t="s">
        <v>2667</v>
      </c>
      <c r="C716" t="str">
        <f>"9780262527163"</f>
        <v>9780262527163</v>
      </c>
      <c r="D716" t="str">
        <f>"9780262328487"</f>
        <v>9780262328487</v>
      </c>
      <c r="E716" t="s">
        <v>2604</v>
      </c>
      <c r="F716" s="1">
        <v>42125</v>
      </c>
      <c r="G716" t="s">
        <v>16</v>
      </c>
      <c r="I716" t="s">
        <v>2605</v>
      </c>
      <c r="J716" t="s">
        <v>2668</v>
      </c>
      <c r="K716" t="s">
        <v>309</v>
      </c>
      <c r="L716">
        <v>794.8</v>
      </c>
      <c r="M716" t="s">
        <v>2669</v>
      </c>
      <c r="N716" t="s">
        <v>20</v>
      </c>
    </row>
    <row r="717" spans="1:14">
      <c r="A717">
        <v>3382465</v>
      </c>
      <c r="B717" t="s">
        <v>2670</v>
      </c>
      <c r="C717" t="str">
        <f>"9781904456667"</f>
        <v>9781904456667</v>
      </c>
      <c r="D717" t="str">
        <f>"9781906523718"</f>
        <v>9781906523718</v>
      </c>
      <c r="E717" t="s">
        <v>2671</v>
      </c>
      <c r="F717" s="1">
        <v>39326</v>
      </c>
      <c r="G717" t="s">
        <v>16</v>
      </c>
      <c r="H717">
        <v>2</v>
      </c>
      <c r="I717" t="s">
        <v>2672</v>
      </c>
      <c r="J717" t="s">
        <v>2673</v>
      </c>
      <c r="K717" t="s">
        <v>502</v>
      </c>
      <c r="L717">
        <v>339.46</v>
      </c>
      <c r="M717" t="s">
        <v>2674</v>
      </c>
      <c r="N717" t="s">
        <v>20</v>
      </c>
    </row>
    <row r="718" spans="1:14">
      <c r="A718">
        <v>3382466</v>
      </c>
      <c r="B718" t="s">
        <v>2675</v>
      </c>
      <c r="C718" t="str">
        <f>"9781904456469"</f>
        <v>9781904456469</v>
      </c>
      <c r="D718" t="str">
        <f>"9781906523749"</f>
        <v>9781906523749</v>
      </c>
      <c r="E718" t="s">
        <v>2671</v>
      </c>
      <c r="F718" s="1">
        <v>39022</v>
      </c>
      <c r="G718" t="s">
        <v>16</v>
      </c>
      <c r="I718" t="s">
        <v>2672</v>
      </c>
      <c r="J718" t="s">
        <v>2676</v>
      </c>
      <c r="K718" t="s">
        <v>1662</v>
      </c>
      <c r="L718">
        <v>500</v>
      </c>
      <c r="M718" t="s">
        <v>2677</v>
      </c>
      <c r="N718" t="s">
        <v>20</v>
      </c>
    </row>
    <row r="719" spans="1:14">
      <c r="A719">
        <v>3382478</v>
      </c>
      <c r="B719" t="s">
        <v>2678</v>
      </c>
      <c r="C719" t="str">
        <f>"9781904456612"</f>
        <v>9781904456612</v>
      </c>
      <c r="D719" t="str">
        <f>"9781906523626"</f>
        <v>9781906523626</v>
      </c>
      <c r="E719" t="s">
        <v>2671</v>
      </c>
      <c r="F719" s="1">
        <v>39173</v>
      </c>
      <c r="G719" t="s">
        <v>16</v>
      </c>
      <c r="I719" t="s">
        <v>2672</v>
      </c>
      <c r="J719" t="s">
        <v>2679</v>
      </c>
      <c r="K719" t="s">
        <v>94</v>
      </c>
      <c r="L719">
        <v>297</v>
      </c>
      <c r="M719" t="s">
        <v>2680</v>
      </c>
      <c r="N719" t="s">
        <v>20</v>
      </c>
    </row>
    <row r="720" spans="1:14">
      <c r="A720">
        <v>3382481</v>
      </c>
      <c r="B720" t="s">
        <v>2681</v>
      </c>
      <c r="C720" t="str">
        <f>"9781904456452"</f>
        <v>9781904456452</v>
      </c>
      <c r="D720" t="str">
        <f>"9781906523596"</f>
        <v>9781906523596</v>
      </c>
      <c r="E720" t="s">
        <v>2671</v>
      </c>
      <c r="F720" s="1">
        <v>39052</v>
      </c>
      <c r="G720" t="s">
        <v>16</v>
      </c>
      <c r="I720" t="s">
        <v>2672</v>
      </c>
      <c r="J720" t="s">
        <v>2682</v>
      </c>
      <c r="K720" t="s">
        <v>166</v>
      </c>
      <c r="L720">
        <v>323.10000000000002</v>
      </c>
      <c r="M720" t="s">
        <v>2683</v>
      </c>
      <c r="N720" t="s">
        <v>20</v>
      </c>
    </row>
    <row r="721" spans="1:14">
      <c r="A721">
        <v>3382482</v>
      </c>
      <c r="B721" t="s">
        <v>2684</v>
      </c>
      <c r="C721" t="str">
        <f>"9781904456650"</f>
        <v>9781904456650</v>
      </c>
      <c r="D721" t="str">
        <f>"9781906523688"</f>
        <v>9781906523688</v>
      </c>
      <c r="E721" t="s">
        <v>2671</v>
      </c>
      <c r="F721" s="1">
        <v>39326</v>
      </c>
      <c r="G721" t="s">
        <v>16</v>
      </c>
      <c r="I721" t="s">
        <v>2672</v>
      </c>
      <c r="J721" t="s">
        <v>2685</v>
      </c>
      <c r="K721" t="s">
        <v>632</v>
      </c>
      <c r="L721">
        <v>362.1</v>
      </c>
      <c r="M721" t="s">
        <v>2686</v>
      </c>
      <c r="N721" t="s">
        <v>20</v>
      </c>
    </row>
    <row r="722" spans="1:14">
      <c r="A722">
        <v>3382498</v>
      </c>
      <c r="B722" t="s">
        <v>2687</v>
      </c>
      <c r="C722" t="str">
        <f>"9781904456605"</f>
        <v>9781904456605</v>
      </c>
      <c r="D722" t="str">
        <f>"9781906523756"</f>
        <v>9781906523756</v>
      </c>
      <c r="E722" t="s">
        <v>2671</v>
      </c>
      <c r="F722" s="1">
        <v>39203</v>
      </c>
      <c r="G722" t="s">
        <v>16</v>
      </c>
      <c r="I722" t="s">
        <v>2672</v>
      </c>
      <c r="J722" t="s">
        <v>2688</v>
      </c>
      <c r="K722" t="s">
        <v>2689</v>
      </c>
      <c r="L722">
        <v>338.47910000000002</v>
      </c>
      <c r="M722" t="s">
        <v>2690</v>
      </c>
      <c r="N722" t="s">
        <v>20</v>
      </c>
    </row>
    <row r="723" spans="1:14">
      <c r="A723">
        <v>3382501</v>
      </c>
      <c r="B723" t="s">
        <v>2691</v>
      </c>
      <c r="C723" t="str">
        <f>"9781904456643"</f>
        <v>9781904456643</v>
      </c>
      <c r="D723" t="str">
        <f>"9781906523640"</f>
        <v>9781906523640</v>
      </c>
      <c r="E723" t="s">
        <v>2671</v>
      </c>
      <c r="F723" s="1">
        <v>39356</v>
      </c>
      <c r="G723" t="s">
        <v>16</v>
      </c>
      <c r="I723" t="s">
        <v>2672</v>
      </c>
      <c r="J723" t="s">
        <v>2692</v>
      </c>
      <c r="K723" t="s">
        <v>55</v>
      </c>
      <c r="L723">
        <v>306.76</v>
      </c>
      <c r="M723" t="s">
        <v>2693</v>
      </c>
      <c r="N723" t="s">
        <v>20</v>
      </c>
    </row>
    <row r="724" spans="1:14">
      <c r="A724">
        <v>3382519</v>
      </c>
      <c r="B724" t="s">
        <v>2694</v>
      </c>
      <c r="C724" t="str">
        <f>"9781904456636"</f>
        <v>9781904456636</v>
      </c>
      <c r="D724" t="str">
        <f>"9781906523602"</f>
        <v>9781906523602</v>
      </c>
      <c r="E724" t="s">
        <v>2671</v>
      </c>
      <c r="F724" s="1">
        <v>39356</v>
      </c>
      <c r="G724" t="s">
        <v>16</v>
      </c>
      <c r="H724">
        <v>2</v>
      </c>
      <c r="I724" t="s">
        <v>2672</v>
      </c>
      <c r="J724" t="s">
        <v>2695</v>
      </c>
      <c r="K724" t="s">
        <v>552</v>
      </c>
      <c r="L724">
        <v>338.92200000000003</v>
      </c>
      <c r="M724" t="s">
        <v>2696</v>
      </c>
      <c r="N724" t="s">
        <v>20</v>
      </c>
    </row>
    <row r="725" spans="1:14">
      <c r="A725">
        <v>3382520</v>
      </c>
      <c r="B725" t="s">
        <v>2697</v>
      </c>
      <c r="C725" t="str">
        <f>"9781904456438"</f>
        <v>9781904456438</v>
      </c>
      <c r="D725" t="str">
        <f>"9781906523732"</f>
        <v>9781906523732</v>
      </c>
      <c r="E725" t="s">
        <v>2671</v>
      </c>
      <c r="F725" s="1">
        <v>38991</v>
      </c>
      <c r="G725" t="s">
        <v>16</v>
      </c>
      <c r="I725" t="s">
        <v>2672</v>
      </c>
      <c r="J725" t="s">
        <v>2698</v>
      </c>
      <c r="K725" t="s">
        <v>29</v>
      </c>
      <c r="L725">
        <v>382.92</v>
      </c>
      <c r="M725" t="s">
        <v>2699</v>
      </c>
      <c r="N725" t="s">
        <v>20</v>
      </c>
    </row>
    <row r="726" spans="1:14">
      <c r="A726">
        <v>3382532</v>
      </c>
      <c r="B726" t="s">
        <v>2700</v>
      </c>
      <c r="C726" t="str">
        <f>"9781904456421"</f>
        <v>9781904456421</v>
      </c>
      <c r="D726" t="str">
        <f>"9781906523527"</f>
        <v>9781906523527</v>
      </c>
      <c r="E726" t="s">
        <v>2671</v>
      </c>
      <c r="F726" s="1">
        <v>38991</v>
      </c>
      <c r="G726" t="s">
        <v>16</v>
      </c>
      <c r="I726" t="s">
        <v>2672</v>
      </c>
      <c r="J726" t="s">
        <v>2701</v>
      </c>
      <c r="K726" t="s">
        <v>55</v>
      </c>
      <c r="L726">
        <v>303.69</v>
      </c>
      <c r="M726" t="s">
        <v>2702</v>
      </c>
      <c r="N726" t="s">
        <v>20</v>
      </c>
    </row>
    <row r="727" spans="1:14">
      <c r="A727">
        <v>3382545</v>
      </c>
      <c r="B727" t="s">
        <v>2703</v>
      </c>
      <c r="C727" t="str">
        <f>"9781780261232"</f>
        <v>9781780261232</v>
      </c>
      <c r="D727" t="str">
        <f>"9781780261270"</f>
        <v>9781780261270</v>
      </c>
      <c r="E727" t="s">
        <v>2671</v>
      </c>
      <c r="F727" s="1">
        <v>41758</v>
      </c>
      <c r="G727" t="s">
        <v>16</v>
      </c>
      <c r="J727" t="s">
        <v>2704</v>
      </c>
      <c r="K727" t="s">
        <v>552</v>
      </c>
      <c r="L727">
        <v>338.90089999999998</v>
      </c>
      <c r="M727" t="s">
        <v>2705</v>
      </c>
      <c r="N727" t="s">
        <v>20</v>
      </c>
    </row>
    <row r="728" spans="1:14">
      <c r="A728">
        <v>3384060</v>
      </c>
      <c r="B728" t="s">
        <v>2706</v>
      </c>
      <c r="C728" t="str">
        <f>"9780780812758"</f>
        <v>9780780812758</v>
      </c>
      <c r="D728" t="str">
        <f>"9780780812765"</f>
        <v>9780780812765</v>
      </c>
      <c r="E728" t="s">
        <v>2707</v>
      </c>
      <c r="F728" s="1">
        <v>41214</v>
      </c>
      <c r="G728" t="s">
        <v>16</v>
      </c>
      <c r="H728">
        <v>5</v>
      </c>
      <c r="I728" t="s">
        <v>2709</v>
      </c>
      <c r="J728" t="s">
        <v>2710</v>
      </c>
      <c r="K728" t="s">
        <v>246</v>
      </c>
      <c r="L728">
        <v>616.89</v>
      </c>
      <c r="M728" t="s">
        <v>2711</v>
      </c>
      <c r="N728" t="s">
        <v>20</v>
      </c>
    </row>
    <row r="729" spans="1:14">
      <c r="A729">
        <v>3399773</v>
      </c>
      <c r="B729" t="s">
        <v>2712</v>
      </c>
      <c r="C729" t="str">
        <f>"9781592534302"</f>
        <v>9781592534302</v>
      </c>
      <c r="D729" t="str">
        <f>"9781610601429"</f>
        <v>9781610601429</v>
      </c>
      <c r="E729" t="s">
        <v>2713</v>
      </c>
      <c r="F729" s="1">
        <v>39736</v>
      </c>
      <c r="G729" t="s">
        <v>16</v>
      </c>
      <c r="J729" t="s">
        <v>2714</v>
      </c>
      <c r="K729" t="s">
        <v>35</v>
      </c>
      <c r="L729">
        <v>741.67200000000003</v>
      </c>
      <c r="M729" t="s">
        <v>2715</v>
      </c>
      <c r="N729" t="s">
        <v>20</v>
      </c>
    </row>
    <row r="730" spans="1:14">
      <c r="A730">
        <v>3399786</v>
      </c>
      <c r="B730" t="s">
        <v>2716</v>
      </c>
      <c r="C730" t="str">
        <f>"9781592535057"</f>
        <v>9781592535057</v>
      </c>
      <c r="D730" t="str">
        <f>"9781616736651"</f>
        <v>9781616736651</v>
      </c>
      <c r="E730" t="s">
        <v>2713</v>
      </c>
      <c r="F730" s="1">
        <v>39814</v>
      </c>
      <c r="G730" t="s">
        <v>16</v>
      </c>
      <c r="J730" t="s">
        <v>2717</v>
      </c>
      <c r="K730" t="s">
        <v>35</v>
      </c>
      <c r="L730">
        <v>741.67200000000003</v>
      </c>
      <c r="M730" t="s">
        <v>2718</v>
      </c>
      <c r="N730" t="s">
        <v>20</v>
      </c>
    </row>
    <row r="731" spans="1:14">
      <c r="A731">
        <v>3399787</v>
      </c>
      <c r="B731" t="s">
        <v>2719</v>
      </c>
      <c r="C731" t="str">
        <f>"9781592534296"</f>
        <v>9781592534296</v>
      </c>
      <c r="D731" t="str">
        <f>"9781616736057"</f>
        <v>9781616736057</v>
      </c>
      <c r="E731" t="s">
        <v>2713</v>
      </c>
      <c r="F731" s="1">
        <v>39814</v>
      </c>
      <c r="G731" t="s">
        <v>16</v>
      </c>
      <c r="J731" t="s">
        <v>2720</v>
      </c>
      <c r="K731" t="s">
        <v>35</v>
      </c>
      <c r="L731">
        <v>746</v>
      </c>
      <c r="M731" t="s">
        <v>2721</v>
      </c>
      <c r="N731" t="s">
        <v>20</v>
      </c>
    </row>
    <row r="732" spans="1:14">
      <c r="A732">
        <v>3399811</v>
      </c>
      <c r="B732" t="s">
        <v>2722</v>
      </c>
      <c r="C732" t="str">
        <f>"9781592534937"</f>
        <v>9781592534937</v>
      </c>
      <c r="D732" t="str">
        <f>"9781616736149"</f>
        <v>9781616736149</v>
      </c>
      <c r="E732" t="s">
        <v>2713</v>
      </c>
      <c r="F732" s="1">
        <v>39965</v>
      </c>
      <c r="G732" t="s">
        <v>16</v>
      </c>
      <c r="J732" t="s">
        <v>2723</v>
      </c>
      <c r="K732" t="s">
        <v>35</v>
      </c>
      <c r="L732">
        <v>741.6</v>
      </c>
      <c r="M732" t="s">
        <v>2724</v>
      </c>
      <c r="N732" t="s">
        <v>20</v>
      </c>
    </row>
    <row r="733" spans="1:14">
      <c r="A733">
        <v>3399820</v>
      </c>
      <c r="B733" t="s">
        <v>2725</v>
      </c>
      <c r="C733" t="str">
        <f>"9781592534616"</f>
        <v>9781592534616</v>
      </c>
      <c r="D733" t="str">
        <f>"9781616736545"</f>
        <v>9781616736545</v>
      </c>
      <c r="E733" t="s">
        <v>2713</v>
      </c>
      <c r="F733" s="1">
        <v>39814</v>
      </c>
      <c r="G733" t="s">
        <v>16</v>
      </c>
      <c r="J733" t="s">
        <v>2726</v>
      </c>
      <c r="K733" t="s">
        <v>2727</v>
      </c>
      <c r="L733">
        <v>686.2</v>
      </c>
      <c r="M733" t="s">
        <v>2728</v>
      </c>
      <c r="N733" t="s">
        <v>20</v>
      </c>
    </row>
    <row r="734" spans="1:14">
      <c r="A734">
        <v>3399845</v>
      </c>
      <c r="B734" t="s">
        <v>2729</v>
      </c>
      <c r="C734" t="str">
        <f>"9781592533312"</f>
        <v>9781592533312</v>
      </c>
      <c r="D734" t="str">
        <f>"9781610601689"</f>
        <v>9781610601689</v>
      </c>
      <c r="E734" t="s">
        <v>2713</v>
      </c>
      <c r="F734" s="1">
        <v>39173</v>
      </c>
      <c r="G734" t="s">
        <v>16</v>
      </c>
      <c r="J734" t="s">
        <v>2730</v>
      </c>
      <c r="K734" t="s">
        <v>35</v>
      </c>
      <c r="L734">
        <v>741.67200000000003</v>
      </c>
      <c r="M734" t="s">
        <v>2731</v>
      </c>
      <c r="N734" t="s">
        <v>20</v>
      </c>
    </row>
    <row r="735" spans="1:14">
      <c r="A735">
        <v>3399902</v>
      </c>
      <c r="B735" t="s">
        <v>2732</v>
      </c>
      <c r="C735" t="str">
        <f>"9781592533305"</f>
        <v>9781592533305</v>
      </c>
      <c r="D735" t="str">
        <f>"9781610601696"</f>
        <v>9781610601696</v>
      </c>
      <c r="E735" t="s">
        <v>2713</v>
      </c>
      <c r="F735" s="1">
        <v>39173</v>
      </c>
      <c r="G735" t="s">
        <v>16</v>
      </c>
      <c r="J735" t="s">
        <v>2730</v>
      </c>
      <c r="K735" t="s">
        <v>35</v>
      </c>
      <c r="L735">
        <v>741.67200000000003</v>
      </c>
      <c r="M735" t="s">
        <v>2731</v>
      </c>
      <c r="N735" t="s">
        <v>20</v>
      </c>
    </row>
    <row r="736" spans="1:14">
      <c r="A736">
        <v>3414458</v>
      </c>
      <c r="B736" t="s">
        <v>2733</v>
      </c>
      <c r="C736" t="str">
        <f>"9780252031892"</f>
        <v>9780252031892</v>
      </c>
      <c r="D736" t="str">
        <f>"9780252097478"</f>
        <v>9780252097478</v>
      </c>
      <c r="E736" t="s">
        <v>2734</v>
      </c>
      <c r="F736" s="1">
        <v>38982</v>
      </c>
      <c r="G736" t="s">
        <v>16</v>
      </c>
      <c r="J736" t="s">
        <v>2735</v>
      </c>
      <c r="K736" t="s">
        <v>55</v>
      </c>
      <c r="L736" t="s">
        <v>2736</v>
      </c>
      <c r="M736" t="s">
        <v>2737</v>
      </c>
      <c r="N736" t="s">
        <v>20</v>
      </c>
    </row>
    <row r="737" spans="1:14">
      <c r="A737">
        <v>3420850</v>
      </c>
      <c r="B737" t="s">
        <v>2738</v>
      </c>
      <c r="C737" t="str">
        <f>"9780300094442"</f>
        <v>9780300094442</v>
      </c>
      <c r="D737" t="str">
        <f>"9780300183627"</f>
        <v>9780300183627</v>
      </c>
      <c r="E737" t="s">
        <v>2739</v>
      </c>
      <c r="F737" s="1">
        <v>41033</v>
      </c>
      <c r="G737" t="s">
        <v>16</v>
      </c>
      <c r="J737" t="s">
        <v>2740</v>
      </c>
      <c r="K737" t="s">
        <v>18</v>
      </c>
      <c r="L737" t="s">
        <v>2741</v>
      </c>
      <c r="M737" t="s">
        <v>2742</v>
      </c>
      <c r="N737" t="s">
        <v>20</v>
      </c>
    </row>
    <row r="738" spans="1:14">
      <c r="A738">
        <v>3420854</v>
      </c>
      <c r="B738" t="s">
        <v>2743</v>
      </c>
      <c r="C738" t="str">
        <f>"9780300136029"</f>
        <v>9780300136029</v>
      </c>
      <c r="D738" t="str">
        <f>"9780300183351"</f>
        <v>9780300183351</v>
      </c>
      <c r="E738" t="s">
        <v>2739</v>
      </c>
      <c r="F738" s="1">
        <v>41047</v>
      </c>
      <c r="G738" t="s">
        <v>16</v>
      </c>
      <c r="J738" t="s">
        <v>2744</v>
      </c>
      <c r="K738" t="s">
        <v>2745</v>
      </c>
      <c r="L738" t="s">
        <v>2746</v>
      </c>
      <c r="M738" t="s">
        <v>2747</v>
      </c>
      <c r="N738" t="s">
        <v>20</v>
      </c>
    </row>
    <row r="739" spans="1:14">
      <c r="A739">
        <v>3421066</v>
      </c>
      <c r="B739" t="s">
        <v>2748</v>
      </c>
      <c r="C739" t="str">
        <f>"9780300181791"</f>
        <v>9780300181791</v>
      </c>
      <c r="D739" t="str">
        <f>"9780300188271"</f>
        <v>9780300188271</v>
      </c>
      <c r="E739" t="s">
        <v>2739</v>
      </c>
      <c r="F739" s="1">
        <v>41212</v>
      </c>
      <c r="G739" t="s">
        <v>16</v>
      </c>
      <c r="I739" t="s">
        <v>2749</v>
      </c>
      <c r="J739" t="s">
        <v>2750</v>
      </c>
      <c r="K739" t="s">
        <v>94</v>
      </c>
      <c r="L739" t="s">
        <v>2751</v>
      </c>
      <c r="M739" t="s">
        <v>2752</v>
      </c>
      <c r="N739" t="s">
        <v>20</v>
      </c>
    </row>
    <row r="740" spans="1:14">
      <c r="A740">
        <v>3421068</v>
      </c>
      <c r="B740" t="s">
        <v>2753</v>
      </c>
      <c r="C740" t="str">
        <f>"9780300181807"</f>
        <v>9780300181807</v>
      </c>
      <c r="D740" t="str">
        <f>"9780300189131"</f>
        <v>9780300189131</v>
      </c>
      <c r="E740" t="s">
        <v>2739</v>
      </c>
      <c r="F740" s="1">
        <v>41240</v>
      </c>
      <c r="G740" t="s">
        <v>16</v>
      </c>
      <c r="I740" t="s">
        <v>2749</v>
      </c>
      <c r="J740" t="s">
        <v>2754</v>
      </c>
      <c r="K740" t="s">
        <v>166</v>
      </c>
      <c r="L740">
        <v>320.01</v>
      </c>
      <c r="M740" t="s">
        <v>2755</v>
      </c>
      <c r="N740" t="s">
        <v>20</v>
      </c>
    </row>
    <row r="741" spans="1:14">
      <c r="A741">
        <v>3421352</v>
      </c>
      <c r="B741" t="s">
        <v>2756</v>
      </c>
      <c r="C741" t="str">
        <f>"9780300162271"</f>
        <v>9780300162271</v>
      </c>
      <c r="D741" t="str">
        <f>"9780300163773"</f>
        <v>9780300163773</v>
      </c>
      <c r="E741" t="s">
        <v>2739</v>
      </c>
      <c r="F741" s="1">
        <v>41667</v>
      </c>
      <c r="G741" t="s">
        <v>16</v>
      </c>
      <c r="J741" t="s">
        <v>2757</v>
      </c>
      <c r="K741" t="s">
        <v>2758</v>
      </c>
      <c r="L741">
        <v>992</v>
      </c>
      <c r="M741" t="s">
        <v>2759</v>
      </c>
      <c r="N741" t="s">
        <v>20</v>
      </c>
    </row>
    <row r="742" spans="1:14">
      <c r="A742">
        <v>3440213</v>
      </c>
      <c r="B742" t="s">
        <v>2760</v>
      </c>
      <c r="C742" t="str">
        <f>"9780780813625"</f>
        <v>9780780813625</v>
      </c>
      <c r="D742" t="str">
        <f>"9780780813632"</f>
        <v>9780780813632</v>
      </c>
      <c r="E742" t="s">
        <v>2707</v>
      </c>
      <c r="F742" s="1">
        <v>42160</v>
      </c>
      <c r="G742" t="s">
        <v>16</v>
      </c>
      <c r="H742">
        <v>5</v>
      </c>
      <c r="J742" t="s">
        <v>2708</v>
      </c>
      <c r="K742" t="s">
        <v>55</v>
      </c>
      <c r="L742">
        <v>394.26029999999997</v>
      </c>
      <c r="M742" t="s">
        <v>2761</v>
      </c>
      <c r="N742" t="s">
        <v>20</v>
      </c>
    </row>
    <row r="743" spans="1:14">
      <c r="A743">
        <v>3543950</v>
      </c>
      <c r="B743" t="s">
        <v>2762</v>
      </c>
      <c r="C743" t="str">
        <f>"9781925022384"</f>
        <v>9781925022384</v>
      </c>
      <c r="D743" t="str">
        <f>"9781925022391"</f>
        <v>9781925022391</v>
      </c>
      <c r="E743" t="s">
        <v>2763</v>
      </c>
      <c r="F743" s="1">
        <v>42125</v>
      </c>
      <c r="G743" t="s">
        <v>16</v>
      </c>
      <c r="J743" t="s">
        <v>2764</v>
      </c>
      <c r="K743" t="s">
        <v>166</v>
      </c>
      <c r="L743">
        <v>323.49095985999998</v>
      </c>
      <c r="M743" t="s">
        <v>2765</v>
      </c>
      <c r="N743" t="s">
        <v>20</v>
      </c>
    </row>
    <row r="744" spans="1:14">
      <c r="A744">
        <v>3543953</v>
      </c>
      <c r="B744" t="s">
        <v>2766</v>
      </c>
      <c r="C744" t="str">
        <f>"9781925022247"</f>
        <v>9781925022247</v>
      </c>
      <c r="D744" t="str">
        <f>"9781925022254"</f>
        <v>9781925022254</v>
      </c>
      <c r="E744" t="s">
        <v>2763</v>
      </c>
      <c r="F744" s="1">
        <v>42064</v>
      </c>
      <c r="G744" t="s">
        <v>16</v>
      </c>
      <c r="J744" t="s">
        <v>2767</v>
      </c>
      <c r="K744" t="s">
        <v>50</v>
      </c>
      <c r="L744">
        <v>920.02</v>
      </c>
      <c r="M744" t="s">
        <v>2768</v>
      </c>
      <c r="N744" t="s">
        <v>20</v>
      </c>
    </row>
    <row r="745" spans="1:14">
      <c r="A745">
        <v>3544751</v>
      </c>
      <c r="B745" t="s">
        <v>2769</v>
      </c>
      <c r="C745" t="str">
        <f>"9781869221881"</f>
        <v>9781869221881</v>
      </c>
      <c r="D745" t="str">
        <f>"9781869221980"</f>
        <v>9781869221980</v>
      </c>
      <c r="E745" t="s">
        <v>2770</v>
      </c>
      <c r="F745" s="1">
        <v>41275</v>
      </c>
      <c r="G745" t="s">
        <v>16</v>
      </c>
      <c r="J745" t="s">
        <v>2771</v>
      </c>
      <c r="K745" t="s">
        <v>29</v>
      </c>
      <c r="M745" t="s">
        <v>2772</v>
      </c>
      <c r="N745" t="s">
        <v>20</v>
      </c>
    </row>
    <row r="746" spans="1:14">
      <c r="A746">
        <v>3563878</v>
      </c>
      <c r="B746" t="s">
        <v>2773</v>
      </c>
      <c r="C746" t="str">
        <f>"9780830827053"</f>
        <v>9780830827053</v>
      </c>
      <c r="D746" t="str">
        <f>"9780830867080"</f>
        <v>9780830867080</v>
      </c>
      <c r="E746" t="s">
        <v>2344</v>
      </c>
      <c r="F746" s="1">
        <v>38747</v>
      </c>
      <c r="G746" t="s">
        <v>16</v>
      </c>
      <c r="I746" t="s">
        <v>2365</v>
      </c>
      <c r="J746" t="s">
        <v>2774</v>
      </c>
      <c r="K746" t="s">
        <v>94</v>
      </c>
      <c r="L746">
        <v>200</v>
      </c>
      <c r="M746" t="s">
        <v>2775</v>
      </c>
      <c r="N746" t="s">
        <v>20</v>
      </c>
    </row>
    <row r="747" spans="1:14">
      <c r="A747">
        <v>3572275</v>
      </c>
      <c r="B747" t="s">
        <v>2776</v>
      </c>
      <c r="C747" t="str">
        <f>"9783598235160"</f>
        <v>9783598235160</v>
      </c>
      <c r="D747" t="str">
        <f>"9783110971781"</f>
        <v>9783110971781</v>
      </c>
      <c r="E747" t="s">
        <v>1632</v>
      </c>
      <c r="F747" s="1">
        <v>39801</v>
      </c>
      <c r="G747" t="s">
        <v>16</v>
      </c>
      <c r="J747" t="s">
        <v>2777</v>
      </c>
      <c r="K747" t="s">
        <v>1233</v>
      </c>
      <c r="M747" t="s">
        <v>2778</v>
      </c>
      <c r="N747" t="s">
        <v>20</v>
      </c>
    </row>
    <row r="748" spans="1:14">
      <c r="A748">
        <v>4002136</v>
      </c>
      <c r="B748" t="s">
        <v>2779</v>
      </c>
      <c r="C748" t="str">
        <f>"9783598339073"</f>
        <v>9783598339073</v>
      </c>
      <c r="D748" t="str">
        <f>"9783110949261"</f>
        <v>9783110949261</v>
      </c>
      <c r="E748" t="s">
        <v>1632</v>
      </c>
      <c r="F748" s="1">
        <v>39534</v>
      </c>
      <c r="G748" t="s">
        <v>16</v>
      </c>
      <c r="J748" t="s">
        <v>2780</v>
      </c>
      <c r="K748" t="s">
        <v>50</v>
      </c>
      <c r="L748">
        <v>920</v>
      </c>
      <c r="M748" t="s">
        <v>2781</v>
      </c>
      <c r="N748" t="s">
        <v>20</v>
      </c>
    </row>
    <row r="749" spans="1:14">
      <c r="A749">
        <v>4007840</v>
      </c>
      <c r="B749" t="s">
        <v>2782</v>
      </c>
      <c r="C749" t="str">
        <f>"9780230237865"</f>
        <v>9780230237865</v>
      </c>
      <c r="D749" t="str">
        <f>"9780230306257"</f>
        <v>9780230306257</v>
      </c>
      <c r="E749" t="s">
        <v>2783</v>
      </c>
      <c r="F749" s="1">
        <v>40554</v>
      </c>
      <c r="G749" t="s">
        <v>16</v>
      </c>
      <c r="J749" t="s">
        <v>2784</v>
      </c>
      <c r="K749" t="s">
        <v>2785</v>
      </c>
      <c r="L749">
        <v>303.66000000000003</v>
      </c>
      <c r="M749" t="s">
        <v>2786</v>
      </c>
      <c r="N749" t="s">
        <v>20</v>
      </c>
    </row>
    <row r="750" spans="1:14">
      <c r="A750">
        <v>4034178</v>
      </c>
      <c r="B750" t="s">
        <v>2787</v>
      </c>
      <c r="C750" t="str">
        <f>"9781444333503"</f>
        <v>9781444333503</v>
      </c>
      <c r="D750" t="str">
        <f>"9781118325087"</f>
        <v>9781118325087</v>
      </c>
      <c r="E750" t="s">
        <v>26</v>
      </c>
      <c r="F750" s="1">
        <v>41960</v>
      </c>
      <c r="G750" t="s">
        <v>16</v>
      </c>
      <c r="H750">
        <v>1</v>
      </c>
      <c r="I750" t="s">
        <v>88</v>
      </c>
      <c r="J750" t="s">
        <v>2788</v>
      </c>
      <c r="K750" t="s">
        <v>35</v>
      </c>
      <c r="L750">
        <v>709.32</v>
      </c>
      <c r="M750" t="s">
        <v>2789</v>
      </c>
      <c r="N750" t="s">
        <v>20</v>
      </c>
    </row>
    <row r="751" spans="1:14">
      <c r="A751">
        <v>4035676</v>
      </c>
      <c r="B751" t="s">
        <v>2790</v>
      </c>
      <c r="C751" t="str">
        <f>"9781118475010"</f>
        <v>9781118475010</v>
      </c>
      <c r="D751" t="str">
        <f>"9781118474921"</f>
        <v>9781118474921</v>
      </c>
      <c r="E751" t="s">
        <v>26</v>
      </c>
      <c r="F751" s="1">
        <v>42352</v>
      </c>
      <c r="G751" t="s">
        <v>16</v>
      </c>
      <c r="H751">
        <v>1</v>
      </c>
      <c r="J751" t="s">
        <v>2791</v>
      </c>
      <c r="K751" t="s">
        <v>1450</v>
      </c>
      <c r="L751" t="s">
        <v>2792</v>
      </c>
      <c r="M751" t="s">
        <v>2793</v>
      </c>
      <c r="N751" t="s">
        <v>20</v>
      </c>
    </row>
    <row r="752" spans="1:14">
      <c r="A752">
        <v>4036301</v>
      </c>
      <c r="B752" t="s">
        <v>2794</v>
      </c>
      <c r="C752" t="str">
        <f>"9780631230458"</f>
        <v>9780631230458</v>
      </c>
      <c r="D752" t="str">
        <f>"9781118556658"</f>
        <v>9781118556658</v>
      </c>
      <c r="E752" t="s">
        <v>26</v>
      </c>
      <c r="F752" s="1">
        <v>39944</v>
      </c>
      <c r="G752" t="s">
        <v>16</v>
      </c>
      <c r="H752">
        <v>1</v>
      </c>
      <c r="I752" t="s">
        <v>88</v>
      </c>
      <c r="J752" t="s">
        <v>2795</v>
      </c>
      <c r="K752" t="s">
        <v>50</v>
      </c>
      <c r="L752">
        <v>938</v>
      </c>
      <c r="M752" t="s">
        <v>2796</v>
      </c>
      <c r="N752" t="s">
        <v>20</v>
      </c>
    </row>
    <row r="753" spans="1:14">
      <c r="A753">
        <v>4036736</v>
      </c>
      <c r="B753" t="s">
        <v>2797</v>
      </c>
      <c r="C753" t="str">
        <f>"9781405194457"</f>
        <v>9781405194457</v>
      </c>
      <c r="D753" t="str">
        <f>"9781118607237"</f>
        <v>9781118607237</v>
      </c>
      <c r="E753" t="s">
        <v>26</v>
      </c>
      <c r="F753" s="1">
        <v>42233</v>
      </c>
      <c r="G753" t="s">
        <v>16</v>
      </c>
      <c r="H753">
        <v>1</v>
      </c>
      <c r="I753" t="s">
        <v>302</v>
      </c>
      <c r="J753" t="s">
        <v>2798</v>
      </c>
      <c r="K753" t="s">
        <v>18</v>
      </c>
      <c r="L753">
        <v>823.00900000000001</v>
      </c>
      <c r="M753" t="s">
        <v>2799</v>
      </c>
      <c r="N753" t="s">
        <v>20</v>
      </c>
    </row>
    <row r="754" spans="1:14">
      <c r="A754">
        <v>4036738</v>
      </c>
      <c r="B754" t="s">
        <v>2800</v>
      </c>
      <c r="C754" t="str">
        <f>"9781444332841"</f>
        <v>9781444332841</v>
      </c>
      <c r="D754" t="str">
        <f>"9781118607299"</f>
        <v>9781118607299</v>
      </c>
      <c r="E754" t="s">
        <v>26</v>
      </c>
      <c r="F754" s="1">
        <v>41897</v>
      </c>
      <c r="G754" t="s">
        <v>16</v>
      </c>
      <c r="H754">
        <v>1</v>
      </c>
      <c r="I754" t="s">
        <v>141</v>
      </c>
      <c r="J754" t="s">
        <v>2801</v>
      </c>
      <c r="K754" t="s">
        <v>138</v>
      </c>
      <c r="L754">
        <v>194</v>
      </c>
      <c r="M754" t="s">
        <v>2802</v>
      </c>
      <c r="N754" t="s">
        <v>20</v>
      </c>
    </row>
    <row r="755" spans="1:14">
      <c r="A755">
        <v>4037359</v>
      </c>
      <c r="B755" t="s">
        <v>2803</v>
      </c>
      <c r="C755" t="str">
        <f>"9780631206873"</f>
        <v>9780631206873</v>
      </c>
      <c r="D755" t="str">
        <f>"9781118661635"</f>
        <v>9781118661635</v>
      </c>
      <c r="E755" t="s">
        <v>26</v>
      </c>
      <c r="F755" s="1">
        <v>39923</v>
      </c>
      <c r="G755" t="s">
        <v>16</v>
      </c>
      <c r="H755">
        <v>1</v>
      </c>
      <c r="I755" t="s">
        <v>302</v>
      </c>
      <c r="J755" t="s">
        <v>2804</v>
      </c>
      <c r="K755" t="s">
        <v>18</v>
      </c>
      <c r="L755" t="s">
        <v>2805</v>
      </c>
      <c r="M755" t="s">
        <v>2806</v>
      </c>
      <c r="N755" t="s">
        <v>20</v>
      </c>
    </row>
    <row r="756" spans="1:14">
      <c r="A756">
        <v>4038059</v>
      </c>
      <c r="B756" t="s">
        <v>2807</v>
      </c>
      <c r="C756" t="str">
        <f>"9781118718667"</f>
        <v>9781118718667</v>
      </c>
      <c r="D756" t="str">
        <f>"9781118718650"</f>
        <v>9781118718650</v>
      </c>
      <c r="E756" t="s">
        <v>26</v>
      </c>
      <c r="F756" s="1">
        <v>42255</v>
      </c>
      <c r="G756" t="s">
        <v>16</v>
      </c>
      <c r="H756">
        <v>1</v>
      </c>
      <c r="I756" t="s">
        <v>555</v>
      </c>
      <c r="J756" t="s">
        <v>2808</v>
      </c>
      <c r="K756" t="s">
        <v>94</v>
      </c>
      <c r="L756" t="s">
        <v>2809</v>
      </c>
      <c r="M756" t="s">
        <v>2810</v>
      </c>
      <c r="N756" t="s">
        <v>20</v>
      </c>
    </row>
    <row r="757" spans="1:14">
      <c r="A757">
        <v>4038118</v>
      </c>
      <c r="B757" t="s">
        <v>2811</v>
      </c>
      <c r="C757" t="str">
        <f>"9781118726822"</f>
        <v>9781118726822</v>
      </c>
      <c r="D757" t="str">
        <f>"9781118726754"</f>
        <v>9781118726754</v>
      </c>
      <c r="E757" t="s">
        <v>26</v>
      </c>
      <c r="F757" s="1">
        <v>42275</v>
      </c>
      <c r="G757" t="s">
        <v>16</v>
      </c>
      <c r="H757">
        <v>1</v>
      </c>
      <c r="I757" t="s">
        <v>2812</v>
      </c>
      <c r="J757" t="s">
        <v>2813</v>
      </c>
      <c r="K757" t="s">
        <v>55</v>
      </c>
      <c r="L757">
        <v>364.10660000000001</v>
      </c>
      <c r="M757" t="s">
        <v>2814</v>
      </c>
      <c r="N757" t="s">
        <v>20</v>
      </c>
    </row>
    <row r="758" spans="1:14">
      <c r="A758">
        <v>4038461</v>
      </c>
      <c r="B758" t="s">
        <v>2815</v>
      </c>
      <c r="C758" t="str">
        <f>"9781118762165"</f>
        <v>9781118762165</v>
      </c>
      <c r="D758" t="str">
        <f>"9781118762196"</f>
        <v>9781118762196</v>
      </c>
      <c r="E758" t="s">
        <v>26</v>
      </c>
      <c r="F758" s="1">
        <v>42282</v>
      </c>
      <c r="G758" t="s">
        <v>16</v>
      </c>
      <c r="H758">
        <v>2</v>
      </c>
      <c r="I758" t="s">
        <v>1170</v>
      </c>
      <c r="J758" t="s">
        <v>496</v>
      </c>
      <c r="K758" t="s">
        <v>408</v>
      </c>
      <c r="L758" t="s">
        <v>1172</v>
      </c>
      <c r="M758" t="s">
        <v>2816</v>
      </c>
      <c r="N758" t="s">
        <v>20</v>
      </c>
    </row>
    <row r="759" spans="1:14">
      <c r="A759">
        <v>4038528</v>
      </c>
      <c r="B759" t="s">
        <v>2817</v>
      </c>
      <c r="C759" t="str">
        <f>"9781118768945"</f>
        <v>9781118768945</v>
      </c>
      <c r="D759" t="str">
        <f>"9781118768808"</f>
        <v>9781118768808</v>
      </c>
      <c r="E759" t="s">
        <v>26</v>
      </c>
      <c r="F759" s="1">
        <v>41897</v>
      </c>
      <c r="G759" t="s">
        <v>16</v>
      </c>
      <c r="H759">
        <v>1</v>
      </c>
      <c r="J759" t="s">
        <v>2818</v>
      </c>
      <c r="K759" t="s">
        <v>35</v>
      </c>
      <c r="L759">
        <v>703</v>
      </c>
      <c r="M759" t="s">
        <v>2819</v>
      </c>
      <c r="N759" t="s">
        <v>20</v>
      </c>
    </row>
    <row r="760" spans="1:14">
      <c r="A760">
        <v>4038665</v>
      </c>
      <c r="B760" t="s">
        <v>2820</v>
      </c>
      <c r="C760" t="str">
        <f>"9781444331356"</f>
        <v>9781444331356</v>
      </c>
      <c r="D760" t="str">
        <f>"9781118786277"</f>
        <v>9781118786277</v>
      </c>
      <c r="E760" t="s">
        <v>26</v>
      </c>
      <c r="F760" s="1">
        <v>42177</v>
      </c>
      <c r="G760" t="s">
        <v>16</v>
      </c>
      <c r="H760">
        <v>1</v>
      </c>
      <c r="I760" t="s">
        <v>555</v>
      </c>
      <c r="J760" t="s">
        <v>2821</v>
      </c>
      <c r="K760" t="s">
        <v>94</v>
      </c>
      <c r="L760">
        <v>295</v>
      </c>
      <c r="M760" t="s">
        <v>2822</v>
      </c>
      <c r="N760" t="s">
        <v>20</v>
      </c>
    </row>
    <row r="761" spans="1:14">
      <c r="A761">
        <v>4038803</v>
      </c>
      <c r="B761" t="s">
        <v>2823</v>
      </c>
      <c r="C761" t="str">
        <f>"9781444351316"</f>
        <v>9781444351316</v>
      </c>
      <c r="D761" t="str">
        <f>"9781118802953"</f>
        <v>9781118802953</v>
      </c>
      <c r="E761" t="s">
        <v>26</v>
      </c>
      <c r="F761" s="1">
        <v>41743</v>
      </c>
      <c r="G761" t="s">
        <v>16</v>
      </c>
      <c r="H761">
        <v>1</v>
      </c>
      <c r="I761" t="s">
        <v>228</v>
      </c>
      <c r="J761" t="s">
        <v>2824</v>
      </c>
      <c r="K761" t="s">
        <v>50</v>
      </c>
      <c r="L761">
        <v>973.7</v>
      </c>
      <c r="M761" t="s">
        <v>2825</v>
      </c>
      <c r="N761" t="s">
        <v>20</v>
      </c>
    </row>
    <row r="762" spans="1:14">
      <c r="A762">
        <v>4039197</v>
      </c>
      <c r="B762" t="s">
        <v>2826</v>
      </c>
      <c r="C762" t="str">
        <f>"9781118845240"</f>
        <v>9781118845240</v>
      </c>
      <c r="D762" t="str">
        <f>"9781118845288"</f>
        <v>9781118845288</v>
      </c>
      <c r="E762" t="s">
        <v>26</v>
      </c>
      <c r="F762" s="1">
        <v>42255</v>
      </c>
      <c r="G762" t="s">
        <v>16</v>
      </c>
      <c r="H762">
        <v>1</v>
      </c>
      <c r="I762" t="s">
        <v>608</v>
      </c>
      <c r="J762" t="s">
        <v>2827</v>
      </c>
      <c r="K762" t="s">
        <v>408</v>
      </c>
      <c r="L762">
        <v>372.41</v>
      </c>
      <c r="M762" t="s">
        <v>2828</v>
      </c>
      <c r="N762" t="s">
        <v>20</v>
      </c>
    </row>
    <row r="763" spans="1:14">
      <c r="A763">
        <v>4039553</v>
      </c>
      <c r="B763" t="s">
        <v>2829</v>
      </c>
      <c r="C763" t="str">
        <f>"9781405192880"</f>
        <v>9781405192880</v>
      </c>
      <c r="D763" t="str">
        <f>"9781118886045"</f>
        <v>9781118886045</v>
      </c>
      <c r="E763" t="s">
        <v>26</v>
      </c>
      <c r="F763" s="1">
        <v>42359</v>
      </c>
      <c r="G763" t="s">
        <v>16</v>
      </c>
      <c r="H763">
        <v>1</v>
      </c>
      <c r="I763" t="s">
        <v>88</v>
      </c>
      <c r="J763" t="s">
        <v>2830</v>
      </c>
      <c r="K763" t="s">
        <v>35</v>
      </c>
      <c r="L763">
        <v>709.37</v>
      </c>
      <c r="M763" t="s">
        <v>2831</v>
      </c>
      <c r="N763" t="s">
        <v>20</v>
      </c>
    </row>
    <row r="764" spans="1:14">
      <c r="A764">
        <v>4039820</v>
      </c>
      <c r="B764" t="s">
        <v>2832</v>
      </c>
      <c r="C764" t="str">
        <f>"9781118573945"</f>
        <v>9781118573945</v>
      </c>
      <c r="D764" t="str">
        <f>"9781118916247"</f>
        <v>9781118916247</v>
      </c>
      <c r="E764" t="s">
        <v>26</v>
      </c>
      <c r="F764" s="1">
        <v>42255</v>
      </c>
      <c r="G764" t="s">
        <v>16</v>
      </c>
      <c r="H764">
        <v>1</v>
      </c>
      <c r="J764" t="s">
        <v>2833</v>
      </c>
      <c r="K764" t="s">
        <v>151</v>
      </c>
      <c r="L764" t="s">
        <v>2834</v>
      </c>
      <c r="M764" t="s">
        <v>2835</v>
      </c>
      <c r="N764" t="s">
        <v>20</v>
      </c>
    </row>
    <row r="765" spans="1:14">
      <c r="A765">
        <v>4040294</v>
      </c>
      <c r="B765" t="s">
        <v>2836</v>
      </c>
      <c r="C765" t="str">
        <f>"9781118978986"</f>
        <v>9781118978986</v>
      </c>
      <c r="D765" t="str">
        <f>"9781118979006"</f>
        <v>9781118979006</v>
      </c>
      <c r="E765" t="s">
        <v>26</v>
      </c>
      <c r="F765" s="1">
        <v>42340</v>
      </c>
      <c r="G765" t="s">
        <v>16</v>
      </c>
      <c r="H765">
        <v>1</v>
      </c>
      <c r="I765" t="s">
        <v>1699</v>
      </c>
      <c r="J765" t="s">
        <v>2837</v>
      </c>
      <c r="K765" t="s">
        <v>151</v>
      </c>
      <c r="L765">
        <v>158.69999999999999</v>
      </c>
      <c r="M765" t="s">
        <v>2838</v>
      </c>
      <c r="N765" t="s">
        <v>20</v>
      </c>
    </row>
    <row r="766" spans="1:14">
      <c r="A766">
        <v>4040883</v>
      </c>
      <c r="B766" t="s">
        <v>2839</v>
      </c>
      <c r="C766" t="str">
        <f>"9781119025573"</f>
        <v>9781119025573</v>
      </c>
      <c r="D766" t="str">
        <f>"9781119062356"</f>
        <v>9781119062356</v>
      </c>
      <c r="E766" t="s">
        <v>26</v>
      </c>
      <c r="F766" s="1">
        <v>39944</v>
      </c>
      <c r="G766" t="s">
        <v>16</v>
      </c>
      <c r="H766">
        <v>1</v>
      </c>
      <c r="I766" t="s">
        <v>88</v>
      </c>
      <c r="J766" t="s">
        <v>2840</v>
      </c>
      <c r="K766" t="s">
        <v>50</v>
      </c>
      <c r="L766">
        <v>937.05092000000002</v>
      </c>
      <c r="M766" t="s">
        <v>2841</v>
      </c>
      <c r="N766" t="s">
        <v>20</v>
      </c>
    </row>
    <row r="767" spans="1:14">
      <c r="A767">
        <v>4040928</v>
      </c>
      <c r="B767" t="s">
        <v>2842</v>
      </c>
      <c r="C767" t="str">
        <f>"9781444351095"</f>
        <v>9781444351095</v>
      </c>
      <c r="D767" t="str">
        <f>"9781119071884"</f>
        <v>9781119071884</v>
      </c>
      <c r="E767" t="s">
        <v>26</v>
      </c>
      <c r="F767" s="1">
        <v>42331</v>
      </c>
      <c r="G767" t="s">
        <v>16</v>
      </c>
      <c r="H767">
        <v>1</v>
      </c>
      <c r="I767" t="s">
        <v>228</v>
      </c>
      <c r="J767" t="s">
        <v>2843</v>
      </c>
      <c r="K767" t="s">
        <v>50</v>
      </c>
      <c r="L767">
        <v>973.82092</v>
      </c>
      <c r="M767" t="s">
        <v>2844</v>
      </c>
      <c r="N767" t="s">
        <v>20</v>
      </c>
    </row>
    <row r="768" spans="1:14">
      <c r="A768">
        <v>4041625</v>
      </c>
      <c r="B768" t="s">
        <v>2845</v>
      </c>
      <c r="C768" t="str">
        <f>"9781405189491"</f>
        <v>9781405189491</v>
      </c>
      <c r="D768" t="str">
        <f>"9781444340464"</f>
        <v>9781444340464</v>
      </c>
      <c r="E768" t="s">
        <v>26</v>
      </c>
      <c r="F768" s="1">
        <v>40669</v>
      </c>
      <c r="G768" t="s">
        <v>16</v>
      </c>
      <c r="H768">
        <v>1</v>
      </c>
      <c r="I768" t="s">
        <v>667</v>
      </c>
      <c r="J768" t="s">
        <v>2846</v>
      </c>
      <c r="K768" t="s">
        <v>55</v>
      </c>
      <c r="L768">
        <v>306.46129999999999</v>
      </c>
      <c r="N768" t="s">
        <v>20</v>
      </c>
    </row>
    <row r="769" spans="1:14">
      <c r="A769">
        <v>4041627</v>
      </c>
      <c r="B769" t="s">
        <v>2847</v>
      </c>
      <c r="C769" t="str">
        <f>"9781405190572"</f>
        <v>9781405190572</v>
      </c>
      <c r="D769" t="str">
        <f>"9781444340587"</f>
        <v>9781444340587</v>
      </c>
      <c r="E769" t="s">
        <v>26</v>
      </c>
      <c r="F769" s="1">
        <v>40651</v>
      </c>
      <c r="G769" t="s">
        <v>16</v>
      </c>
      <c r="H769">
        <v>1</v>
      </c>
      <c r="I769" t="s">
        <v>349</v>
      </c>
      <c r="J769" t="s">
        <v>2848</v>
      </c>
      <c r="K769" t="s">
        <v>50</v>
      </c>
      <c r="L769">
        <v>972</v>
      </c>
      <c r="M769" t="s">
        <v>2849</v>
      </c>
      <c r="N769" t="s">
        <v>20</v>
      </c>
    </row>
    <row r="770" spans="1:14">
      <c r="A770">
        <v>4041633</v>
      </c>
      <c r="B770" t="s">
        <v>2850</v>
      </c>
      <c r="C770" t="str">
        <f>"9781444330175"</f>
        <v>9781444330175</v>
      </c>
      <c r="D770" t="str">
        <f>"9781444340938"</f>
        <v>9781444340938</v>
      </c>
      <c r="E770" t="s">
        <v>26</v>
      </c>
      <c r="F770" s="1">
        <v>40651</v>
      </c>
      <c r="G770" t="s">
        <v>16</v>
      </c>
      <c r="H770">
        <v>1</v>
      </c>
      <c r="I770" t="s">
        <v>228</v>
      </c>
      <c r="J770" t="s">
        <v>2851</v>
      </c>
      <c r="K770" t="s">
        <v>50</v>
      </c>
      <c r="L770" t="s">
        <v>2852</v>
      </c>
      <c r="M770" t="s">
        <v>2853</v>
      </c>
      <c r="N770" t="s">
        <v>20</v>
      </c>
    </row>
    <row r="771" spans="1:14">
      <c r="A771">
        <v>4041652</v>
      </c>
      <c r="B771" t="s">
        <v>2854</v>
      </c>
      <c r="C771" t="str">
        <f>"9781405199964"</f>
        <v>9781405199964</v>
      </c>
      <c r="D771" t="str">
        <f>"9781444342130"</f>
        <v>9781444342130</v>
      </c>
      <c r="E771" t="s">
        <v>26</v>
      </c>
      <c r="F771" s="1">
        <v>40770</v>
      </c>
      <c r="G771" t="s">
        <v>16</v>
      </c>
      <c r="H771">
        <v>1</v>
      </c>
      <c r="I771" t="s">
        <v>228</v>
      </c>
      <c r="J771" t="s">
        <v>2855</v>
      </c>
      <c r="K771" t="s">
        <v>50</v>
      </c>
      <c r="L771" t="s">
        <v>2856</v>
      </c>
      <c r="M771" t="s">
        <v>2857</v>
      </c>
      <c r="N771" t="s">
        <v>20</v>
      </c>
    </row>
    <row r="772" spans="1:14">
      <c r="A772">
        <v>4041664</v>
      </c>
      <c r="B772" t="s">
        <v>2858</v>
      </c>
      <c r="C772" t="str">
        <f>"9781405110440"</f>
        <v>9781405110440</v>
      </c>
      <c r="D772" t="str">
        <f>"9781444342949"</f>
        <v>9781444342949</v>
      </c>
      <c r="E772" t="s">
        <v>26</v>
      </c>
      <c r="F772" s="1">
        <v>39450</v>
      </c>
      <c r="G772" t="s">
        <v>16</v>
      </c>
      <c r="H772">
        <v>1</v>
      </c>
      <c r="I772" t="s">
        <v>302</v>
      </c>
      <c r="J772" t="s">
        <v>2859</v>
      </c>
      <c r="K772" t="s">
        <v>18</v>
      </c>
      <c r="L772" t="s">
        <v>2860</v>
      </c>
      <c r="M772" t="s">
        <v>2861</v>
      </c>
      <c r="N772" t="s">
        <v>20</v>
      </c>
    </row>
    <row r="773" spans="1:14">
      <c r="A773">
        <v>4041671</v>
      </c>
      <c r="B773" t="s">
        <v>2862</v>
      </c>
      <c r="C773" t="str">
        <f>"9781119062516"</f>
        <v>9781119062516</v>
      </c>
      <c r="D773" t="str">
        <f>"9781444343786"</f>
        <v>9781444343786</v>
      </c>
      <c r="E773" t="s">
        <v>26</v>
      </c>
      <c r="F773" s="1">
        <v>40819</v>
      </c>
      <c r="G773" t="s">
        <v>16</v>
      </c>
      <c r="H773">
        <v>1</v>
      </c>
      <c r="I773" t="s">
        <v>302</v>
      </c>
      <c r="J773" t="s">
        <v>2863</v>
      </c>
      <c r="K773" t="s">
        <v>18</v>
      </c>
      <c r="L773">
        <v>810.9</v>
      </c>
      <c r="N773" t="s">
        <v>20</v>
      </c>
    </row>
    <row r="774" spans="1:14">
      <c r="A774">
        <v>4041678</v>
      </c>
      <c r="B774" t="s">
        <v>2864</v>
      </c>
      <c r="C774" t="str">
        <f>"9781444336733"</f>
        <v>9781444336733</v>
      </c>
      <c r="D774" t="str">
        <f>"9781444344295"</f>
        <v>9781444344295</v>
      </c>
      <c r="E774" t="s">
        <v>26</v>
      </c>
      <c r="F774" s="1">
        <v>40833</v>
      </c>
      <c r="G774" t="s">
        <v>16</v>
      </c>
      <c r="H774">
        <v>1</v>
      </c>
      <c r="I774" t="s">
        <v>302</v>
      </c>
      <c r="J774" t="s">
        <v>2865</v>
      </c>
      <c r="K774" t="s">
        <v>18</v>
      </c>
      <c r="L774">
        <v>809.1</v>
      </c>
      <c r="M774" t="s">
        <v>2866</v>
      </c>
      <c r="N774" t="s">
        <v>20</v>
      </c>
    </row>
    <row r="775" spans="1:14">
      <c r="A775">
        <v>4041690</v>
      </c>
      <c r="B775" t="s">
        <v>2867</v>
      </c>
      <c r="C775" t="str">
        <f>"9781405163316"</f>
        <v>9781405163316</v>
      </c>
      <c r="D775" t="str">
        <f>"9781444345407"</f>
        <v>9781444345407</v>
      </c>
      <c r="E775" t="s">
        <v>26</v>
      </c>
      <c r="F775" s="1">
        <v>40105</v>
      </c>
      <c r="G775" t="s">
        <v>16</v>
      </c>
      <c r="H775">
        <v>2</v>
      </c>
      <c r="I775" t="s">
        <v>141</v>
      </c>
      <c r="J775" t="s">
        <v>2868</v>
      </c>
      <c r="K775" t="s">
        <v>2869</v>
      </c>
      <c r="L775">
        <v>174.2</v>
      </c>
      <c r="N775" t="s">
        <v>20</v>
      </c>
    </row>
    <row r="776" spans="1:14">
      <c r="A776">
        <v>4041801</v>
      </c>
      <c r="B776" t="s">
        <v>2870</v>
      </c>
      <c r="C776" t="str">
        <f>"9780470672389"</f>
        <v>9780470672389</v>
      </c>
      <c r="D776" t="str">
        <f>"9781444354904"</f>
        <v>9781444354904</v>
      </c>
      <c r="E776" t="s">
        <v>26</v>
      </c>
      <c r="F776" s="1">
        <v>39825</v>
      </c>
      <c r="G776" t="s">
        <v>16</v>
      </c>
      <c r="H776">
        <v>1</v>
      </c>
      <c r="I776" t="s">
        <v>302</v>
      </c>
      <c r="J776" t="s">
        <v>2871</v>
      </c>
      <c r="K776" t="s">
        <v>18</v>
      </c>
      <c r="L776">
        <v>823.7</v>
      </c>
      <c r="M776" t="s">
        <v>2872</v>
      </c>
      <c r="N776" t="s">
        <v>20</v>
      </c>
    </row>
    <row r="777" spans="1:14">
      <c r="A777">
        <v>4041927</v>
      </c>
      <c r="B777" t="s">
        <v>2873</v>
      </c>
      <c r="C777" t="str">
        <f>"9781119111627"</f>
        <v>9781119111627</v>
      </c>
      <c r="D777" t="str">
        <f>"9781444362169"</f>
        <v>9781444362169</v>
      </c>
      <c r="E777" t="s">
        <v>26</v>
      </c>
      <c r="F777" s="1">
        <v>41036</v>
      </c>
      <c r="G777" t="s">
        <v>16</v>
      </c>
      <c r="H777">
        <v>1</v>
      </c>
      <c r="I777" t="s">
        <v>667</v>
      </c>
      <c r="J777" t="s">
        <v>2874</v>
      </c>
      <c r="K777" t="s">
        <v>55</v>
      </c>
      <c r="L777">
        <v>301.09399999999999</v>
      </c>
      <c r="N777" t="s">
        <v>20</v>
      </c>
    </row>
    <row r="778" spans="1:14">
      <c r="A778">
        <v>4041948</v>
      </c>
      <c r="B778" t="s">
        <v>2875</v>
      </c>
      <c r="C778" t="str">
        <f>"9781405187671"</f>
        <v>9781405187671</v>
      </c>
      <c r="D778" t="str">
        <f>"9781444390759"</f>
        <v>9781444390759</v>
      </c>
      <c r="E778" t="s">
        <v>26</v>
      </c>
      <c r="F778" s="1">
        <v>40561</v>
      </c>
      <c r="G778" t="s">
        <v>16</v>
      </c>
      <c r="H778">
        <v>1</v>
      </c>
      <c r="I778" t="s">
        <v>88</v>
      </c>
      <c r="J778" t="s">
        <v>2876</v>
      </c>
      <c r="K778" t="s">
        <v>55</v>
      </c>
      <c r="L778">
        <v>306.85093799999999</v>
      </c>
      <c r="M778" t="s">
        <v>2877</v>
      </c>
      <c r="N778" t="s">
        <v>20</v>
      </c>
    </row>
    <row r="779" spans="1:14">
      <c r="A779">
        <v>4041973</v>
      </c>
      <c r="B779" t="s">
        <v>2878</v>
      </c>
      <c r="C779" t="str">
        <f>"9781405192309"</f>
        <v>9781405192309</v>
      </c>
      <c r="D779" t="str">
        <f>"9781444392463"</f>
        <v>9781444392463</v>
      </c>
      <c r="E779" t="s">
        <v>26</v>
      </c>
      <c r="F779" s="1">
        <v>40595</v>
      </c>
      <c r="G779" t="s">
        <v>16</v>
      </c>
      <c r="H779">
        <v>1</v>
      </c>
      <c r="J779" t="s">
        <v>2879</v>
      </c>
      <c r="K779" t="s">
        <v>18</v>
      </c>
      <c r="L779">
        <v>810.9</v>
      </c>
      <c r="M779" t="s">
        <v>2880</v>
      </c>
      <c r="N779" t="s">
        <v>20</v>
      </c>
    </row>
    <row r="780" spans="1:14">
      <c r="A780">
        <v>4042007</v>
      </c>
      <c r="B780" t="s">
        <v>2881</v>
      </c>
      <c r="C780" t="str">
        <f>"9781118863213"</f>
        <v>9781118863213</v>
      </c>
      <c r="D780" t="str">
        <f>"9781444395297"</f>
        <v>9781444395297</v>
      </c>
      <c r="E780" t="s">
        <v>26</v>
      </c>
      <c r="F780" s="1">
        <v>40665</v>
      </c>
      <c r="G780" t="s">
        <v>16</v>
      </c>
      <c r="H780">
        <v>1</v>
      </c>
      <c r="I780" t="s">
        <v>667</v>
      </c>
      <c r="J780" t="s">
        <v>2882</v>
      </c>
      <c r="K780" t="s">
        <v>55</v>
      </c>
      <c r="L780">
        <v>306.46100000000001</v>
      </c>
      <c r="N780" t="s">
        <v>20</v>
      </c>
    </row>
    <row r="781" spans="1:14">
      <c r="A781">
        <v>4042018</v>
      </c>
      <c r="B781" t="s">
        <v>2883</v>
      </c>
      <c r="C781" t="str">
        <f>"9781405196321"</f>
        <v>9781405196321</v>
      </c>
      <c r="D781" t="str">
        <f>"9781444395921"</f>
        <v>9781444395921</v>
      </c>
      <c r="E781" t="s">
        <v>26</v>
      </c>
      <c r="F781" s="1">
        <v>40665</v>
      </c>
      <c r="G781" t="s">
        <v>16</v>
      </c>
      <c r="H781">
        <v>1</v>
      </c>
      <c r="I781" t="s">
        <v>2884</v>
      </c>
      <c r="J781" t="s">
        <v>2885</v>
      </c>
      <c r="K781" t="s">
        <v>138</v>
      </c>
      <c r="L781" t="s">
        <v>2886</v>
      </c>
      <c r="M781" t="s">
        <v>2887</v>
      </c>
      <c r="N781" t="s">
        <v>20</v>
      </c>
    </row>
    <row r="782" spans="1:14">
      <c r="A782">
        <v>4042039</v>
      </c>
      <c r="B782" t="s">
        <v>2888</v>
      </c>
      <c r="C782" t="str">
        <f>"9781119111665"</f>
        <v>9781119111665</v>
      </c>
      <c r="D782" t="str">
        <f>"9781444396706"</f>
        <v>9781444396706</v>
      </c>
      <c r="E782" t="s">
        <v>26</v>
      </c>
      <c r="F782" s="1">
        <v>40669</v>
      </c>
      <c r="G782" t="s">
        <v>16</v>
      </c>
      <c r="H782">
        <v>1</v>
      </c>
      <c r="I782" t="s">
        <v>2889</v>
      </c>
      <c r="J782" t="s">
        <v>2890</v>
      </c>
      <c r="K782" t="s">
        <v>321</v>
      </c>
      <c r="L782">
        <v>306.43</v>
      </c>
      <c r="N782" t="s">
        <v>20</v>
      </c>
    </row>
    <row r="783" spans="1:14">
      <c r="A783">
        <v>4042041</v>
      </c>
      <c r="B783" t="s">
        <v>2891</v>
      </c>
      <c r="C783" t="str">
        <f>"9781405111782"</f>
        <v>9781405111782</v>
      </c>
      <c r="D783" t="str">
        <f>"9781444396935"</f>
        <v>9781444396935</v>
      </c>
      <c r="E783" t="s">
        <v>26</v>
      </c>
      <c r="F783" s="1">
        <v>40669</v>
      </c>
      <c r="G783" t="s">
        <v>16</v>
      </c>
      <c r="H783">
        <v>1</v>
      </c>
      <c r="I783" t="s">
        <v>88</v>
      </c>
      <c r="J783" t="s">
        <v>2892</v>
      </c>
      <c r="K783" t="s">
        <v>625</v>
      </c>
      <c r="L783">
        <v>398.20938000000001</v>
      </c>
      <c r="M783" t="s">
        <v>2893</v>
      </c>
      <c r="N783" t="s">
        <v>20</v>
      </c>
    </row>
    <row r="784" spans="1:14">
      <c r="A784">
        <v>4042046</v>
      </c>
      <c r="B784" t="s">
        <v>2894</v>
      </c>
      <c r="C784" t="str">
        <f>"9781405155762"</f>
        <v>9781405155762</v>
      </c>
      <c r="D784" t="str">
        <f>"9781444397543"</f>
        <v>9781444397543</v>
      </c>
      <c r="E784" t="s">
        <v>26</v>
      </c>
      <c r="F784" s="1">
        <v>40742</v>
      </c>
      <c r="G784" t="s">
        <v>16</v>
      </c>
      <c r="H784">
        <v>1</v>
      </c>
      <c r="I784" t="s">
        <v>2884</v>
      </c>
      <c r="J784" t="s">
        <v>2895</v>
      </c>
      <c r="K784" t="s">
        <v>138</v>
      </c>
      <c r="L784" t="s">
        <v>2896</v>
      </c>
      <c r="M784" t="s">
        <v>2897</v>
      </c>
      <c r="N784" t="s">
        <v>20</v>
      </c>
    </row>
    <row r="785" spans="1:14">
      <c r="A785">
        <v>4043738</v>
      </c>
      <c r="B785" t="s">
        <v>2898</v>
      </c>
      <c r="C785" t="str">
        <f>"9781118724095"</f>
        <v>9781118724095</v>
      </c>
      <c r="D785" t="str">
        <f>"9781444345728"</f>
        <v>9781444345728</v>
      </c>
      <c r="E785" t="s">
        <v>26</v>
      </c>
      <c r="F785" s="1">
        <v>40904</v>
      </c>
      <c r="G785" t="s">
        <v>16</v>
      </c>
      <c r="H785">
        <v>1</v>
      </c>
      <c r="I785" t="s">
        <v>555</v>
      </c>
      <c r="J785" t="s">
        <v>2899</v>
      </c>
      <c r="K785" t="s">
        <v>94</v>
      </c>
      <c r="L785">
        <v>230.01</v>
      </c>
      <c r="N785" t="s">
        <v>20</v>
      </c>
    </row>
    <row r="786" spans="1:14">
      <c r="A786">
        <v>4043934</v>
      </c>
      <c r="B786" t="s">
        <v>2900</v>
      </c>
      <c r="C786" t="str">
        <f>"9781405190312"</f>
        <v>9781405190312</v>
      </c>
      <c r="D786" t="str">
        <f>"9781444361971"</f>
        <v>9781444361971</v>
      </c>
      <c r="E786" t="s">
        <v>26</v>
      </c>
      <c r="F786" s="1">
        <v>41036</v>
      </c>
      <c r="G786" t="s">
        <v>16</v>
      </c>
      <c r="H786">
        <v>1</v>
      </c>
      <c r="I786" t="s">
        <v>555</v>
      </c>
      <c r="J786" t="s">
        <v>2901</v>
      </c>
      <c r="K786" t="s">
        <v>94</v>
      </c>
      <c r="L786">
        <v>299.51</v>
      </c>
      <c r="M786" t="s">
        <v>2902</v>
      </c>
      <c r="N786" t="s">
        <v>20</v>
      </c>
    </row>
    <row r="787" spans="1:14">
      <c r="A787">
        <v>4043944</v>
      </c>
      <c r="B787" t="s">
        <v>2903</v>
      </c>
      <c r="C787" t="str">
        <f>"9781405156691"</f>
        <v>9781405156691</v>
      </c>
      <c r="D787" t="str">
        <f>"9781444390087"</f>
        <v>9781444390087</v>
      </c>
      <c r="E787" t="s">
        <v>26</v>
      </c>
      <c r="F787" s="1">
        <v>40574</v>
      </c>
      <c r="G787" t="s">
        <v>16</v>
      </c>
      <c r="H787">
        <v>1</v>
      </c>
      <c r="J787" t="s">
        <v>2904</v>
      </c>
      <c r="K787" t="s">
        <v>18</v>
      </c>
      <c r="L787">
        <v>809.03300000000002</v>
      </c>
      <c r="M787" t="s">
        <v>2905</v>
      </c>
      <c r="N787" t="s">
        <v>20</v>
      </c>
    </row>
    <row r="788" spans="1:14">
      <c r="A788">
        <v>4043963</v>
      </c>
      <c r="B788" t="s">
        <v>2906</v>
      </c>
      <c r="C788" t="str">
        <f>"9781405189224"</f>
        <v>9781405189224</v>
      </c>
      <c r="D788" t="str">
        <f>"9781444390728"</f>
        <v>9781444390728</v>
      </c>
      <c r="E788" t="s">
        <v>26</v>
      </c>
      <c r="F788" s="1">
        <v>40602</v>
      </c>
      <c r="G788" t="s">
        <v>16</v>
      </c>
      <c r="H788">
        <v>1</v>
      </c>
      <c r="J788" t="s">
        <v>2907</v>
      </c>
      <c r="K788" t="s">
        <v>50</v>
      </c>
      <c r="L788">
        <v>940.20299999999997</v>
      </c>
      <c r="M788" t="s">
        <v>2908</v>
      </c>
      <c r="N788" t="s">
        <v>20</v>
      </c>
    </row>
    <row r="789" spans="1:14">
      <c r="A789">
        <v>4107585</v>
      </c>
      <c r="B789" t="s">
        <v>2909</v>
      </c>
      <c r="C789" t="str">
        <f>"9789004285118"</f>
        <v>9789004285118</v>
      </c>
      <c r="D789" t="str">
        <f>"9789004284715"</f>
        <v>9789004284715</v>
      </c>
      <c r="E789" t="s">
        <v>468</v>
      </c>
      <c r="F789" s="1">
        <v>42342</v>
      </c>
      <c r="G789" t="s">
        <v>16</v>
      </c>
      <c r="H789">
        <v>1</v>
      </c>
      <c r="I789" t="s">
        <v>1646</v>
      </c>
      <c r="J789" t="s">
        <v>2910</v>
      </c>
      <c r="K789" t="s">
        <v>891</v>
      </c>
      <c r="L789">
        <v>913</v>
      </c>
      <c r="M789" t="s">
        <v>2911</v>
      </c>
      <c r="N789" t="s">
        <v>20</v>
      </c>
    </row>
    <row r="790" spans="1:14">
      <c r="A790">
        <v>4182139</v>
      </c>
      <c r="B790" t="s">
        <v>2912</v>
      </c>
      <c r="C790" t="str">
        <f>"9781119993155"</f>
        <v>9781119993155</v>
      </c>
      <c r="D790" t="str">
        <f>"9781118326497"</f>
        <v>9781118326497</v>
      </c>
      <c r="E790" t="s">
        <v>26</v>
      </c>
      <c r="F790" s="1">
        <v>41260</v>
      </c>
      <c r="G790" t="s">
        <v>16</v>
      </c>
      <c r="H790">
        <v>1</v>
      </c>
      <c r="I790" t="s">
        <v>1699</v>
      </c>
      <c r="J790" t="s">
        <v>2913</v>
      </c>
      <c r="K790" t="s">
        <v>511</v>
      </c>
      <c r="L790">
        <v>158.30000000000001</v>
      </c>
      <c r="M790" t="s">
        <v>2914</v>
      </c>
      <c r="N790" t="s">
        <v>20</v>
      </c>
    </row>
    <row r="791" spans="1:14">
      <c r="A791">
        <v>4307799</v>
      </c>
      <c r="B791" t="s">
        <v>2915</v>
      </c>
      <c r="C791" t="str">
        <f>"9780814437360"</f>
        <v>9780814437360</v>
      </c>
      <c r="D791" t="str">
        <f>"9780814437377"</f>
        <v>9780814437377</v>
      </c>
      <c r="E791" t="s">
        <v>2916</v>
      </c>
      <c r="F791" s="1">
        <v>42598</v>
      </c>
      <c r="G791" t="s">
        <v>16</v>
      </c>
      <c r="H791">
        <v>5</v>
      </c>
      <c r="J791" t="s">
        <v>2917</v>
      </c>
      <c r="K791" t="s">
        <v>29</v>
      </c>
      <c r="L791">
        <v>658.404</v>
      </c>
      <c r="M791" t="s">
        <v>2918</v>
      </c>
      <c r="N791" t="s">
        <v>20</v>
      </c>
    </row>
    <row r="792" spans="1:14">
      <c r="A792">
        <v>4315716</v>
      </c>
      <c r="B792" t="s">
        <v>2919</v>
      </c>
      <c r="C792" t="str">
        <f>"9780521001922"</f>
        <v>9780521001922</v>
      </c>
      <c r="D792" t="str">
        <f>"9780511202735"</f>
        <v>9780511202735</v>
      </c>
      <c r="E792" t="s">
        <v>33</v>
      </c>
      <c r="F792" s="1">
        <v>37763</v>
      </c>
      <c r="G792" t="s">
        <v>16</v>
      </c>
      <c r="I792" t="s">
        <v>2920</v>
      </c>
      <c r="J792" t="s">
        <v>2921</v>
      </c>
      <c r="K792" t="s">
        <v>35</v>
      </c>
      <c r="L792">
        <v>780.92</v>
      </c>
      <c r="M792" t="s">
        <v>2922</v>
      </c>
      <c r="N792" t="s">
        <v>20</v>
      </c>
    </row>
    <row r="793" spans="1:14">
      <c r="A793">
        <v>4315777</v>
      </c>
      <c r="B793" t="s">
        <v>2923</v>
      </c>
      <c r="C793" t="str">
        <f>"9780521654784"</f>
        <v>9780521654784</v>
      </c>
      <c r="D793" t="str">
        <f>"9780511203350"</f>
        <v>9780511203350</v>
      </c>
      <c r="E793" t="s">
        <v>33</v>
      </c>
      <c r="F793" s="1">
        <v>37791</v>
      </c>
      <c r="G793" t="s">
        <v>16</v>
      </c>
      <c r="I793" t="s">
        <v>2920</v>
      </c>
      <c r="J793" t="s">
        <v>2924</v>
      </c>
      <c r="K793" t="s">
        <v>35</v>
      </c>
      <c r="L793">
        <v>780.92</v>
      </c>
      <c r="M793" t="s">
        <v>2925</v>
      </c>
      <c r="N793" t="s">
        <v>20</v>
      </c>
    </row>
    <row r="794" spans="1:14">
      <c r="A794">
        <v>4316057</v>
      </c>
      <c r="B794" t="s">
        <v>2926</v>
      </c>
      <c r="C794" t="str">
        <f>"9780521663779"</f>
        <v>9780521663779</v>
      </c>
      <c r="D794" t="str">
        <f>"9780511206252"</f>
        <v>9780511206252</v>
      </c>
      <c r="E794" t="s">
        <v>33</v>
      </c>
      <c r="F794" s="1">
        <v>37826</v>
      </c>
      <c r="G794" t="s">
        <v>16</v>
      </c>
      <c r="I794" t="s">
        <v>2920</v>
      </c>
      <c r="J794" t="s">
        <v>2927</v>
      </c>
      <c r="K794" t="s">
        <v>35</v>
      </c>
      <c r="L794">
        <v>780.92</v>
      </c>
      <c r="M794" t="s">
        <v>2928</v>
      </c>
      <c r="N794" t="s">
        <v>20</v>
      </c>
    </row>
    <row r="795" spans="1:14">
      <c r="A795">
        <v>4316766</v>
      </c>
      <c r="B795" t="s">
        <v>2929</v>
      </c>
      <c r="C795" t="str">
        <f>"9780521635356"</f>
        <v>9780521635356</v>
      </c>
      <c r="D795" t="str">
        <f>"9780511263583"</f>
        <v>9780511263583</v>
      </c>
      <c r="E795" t="s">
        <v>33</v>
      </c>
      <c r="F795" s="1">
        <v>38231</v>
      </c>
      <c r="G795" t="s">
        <v>16</v>
      </c>
      <c r="I795" t="s">
        <v>2920</v>
      </c>
      <c r="J795" t="s">
        <v>2930</v>
      </c>
      <c r="K795" t="s">
        <v>35</v>
      </c>
      <c r="L795">
        <v>782.10919999999999</v>
      </c>
      <c r="M795" t="s">
        <v>2931</v>
      </c>
      <c r="N795" t="s">
        <v>20</v>
      </c>
    </row>
    <row r="796" spans="1:14">
      <c r="A796">
        <v>4352979</v>
      </c>
      <c r="B796" t="s">
        <v>2932</v>
      </c>
      <c r="C796" t="str">
        <f>"9781555879075"</f>
        <v>9781555879075</v>
      </c>
      <c r="D796" t="str">
        <f>"9781626373532"</f>
        <v>9781626373532</v>
      </c>
      <c r="E796" t="s">
        <v>2572</v>
      </c>
      <c r="F796" s="1">
        <v>36708</v>
      </c>
      <c r="G796" t="s">
        <v>16</v>
      </c>
      <c r="J796" t="s">
        <v>2933</v>
      </c>
      <c r="K796" t="s">
        <v>50</v>
      </c>
      <c r="L796">
        <v>973.09900000000005</v>
      </c>
      <c r="M796" t="s">
        <v>2934</v>
      </c>
      <c r="N796" t="s">
        <v>20</v>
      </c>
    </row>
    <row r="797" spans="1:14">
      <c r="A797">
        <v>4392768</v>
      </c>
      <c r="B797" t="s">
        <v>2935</v>
      </c>
      <c r="C797" t="str">
        <f>"9780801484575"</f>
        <v>9780801484575</v>
      </c>
      <c r="D797" t="str">
        <f>"9780801454455"</f>
        <v>9780801454455</v>
      </c>
      <c r="E797" t="s">
        <v>2478</v>
      </c>
      <c r="F797" s="1">
        <v>42444</v>
      </c>
      <c r="G797" t="s">
        <v>16</v>
      </c>
      <c r="H797">
        <v>1</v>
      </c>
      <c r="J797" t="s">
        <v>2936</v>
      </c>
      <c r="K797" t="s">
        <v>166</v>
      </c>
      <c r="L797">
        <v>320</v>
      </c>
      <c r="M797" t="s">
        <v>2937</v>
      </c>
      <c r="N797" t="s">
        <v>20</v>
      </c>
    </row>
    <row r="798" spans="1:14">
      <c r="A798">
        <v>4396375</v>
      </c>
      <c r="B798" t="s">
        <v>2938</v>
      </c>
      <c r="C798" t="str">
        <f>"9781597562003"</f>
        <v>9781597562003</v>
      </c>
      <c r="D798" t="str">
        <f>"9781597568807"</f>
        <v>9781597568807</v>
      </c>
      <c r="E798" t="s">
        <v>2939</v>
      </c>
      <c r="F798" s="1">
        <v>39356</v>
      </c>
      <c r="G798" t="s">
        <v>16</v>
      </c>
      <c r="H798">
        <v>1</v>
      </c>
      <c r="J798" t="s">
        <v>2939</v>
      </c>
      <c r="K798" t="s">
        <v>155</v>
      </c>
      <c r="L798">
        <v>610.72</v>
      </c>
      <c r="M798" t="s">
        <v>2940</v>
      </c>
      <c r="N798" t="s">
        <v>20</v>
      </c>
    </row>
    <row r="799" spans="1:14">
      <c r="A799">
        <v>4397555</v>
      </c>
      <c r="B799" t="s">
        <v>2941</v>
      </c>
      <c r="C799" t="str">
        <f>"9789004217331"</f>
        <v>9789004217331</v>
      </c>
      <c r="D799" t="str">
        <f>"9789004297357"</f>
        <v>9789004297357</v>
      </c>
      <c r="E799" t="s">
        <v>468</v>
      </c>
      <c r="F799" s="1">
        <v>42307</v>
      </c>
      <c r="G799" t="s">
        <v>16</v>
      </c>
      <c r="H799">
        <v>1</v>
      </c>
      <c r="I799" t="s">
        <v>1062</v>
      </c>
      <c r="J799" t="s">
        <v>2942</v>
      </c>
      <c r="K799" t="s">
        <v>386</v>
      </c>
      <c r="L799">
        <v>408.99239999999998</v>
      </c>
      <c r="M799" t="s">
        <v>2943</v>
      </c>
      <c r="N799" t="s">
        <v>20</v>
      </c>
    </row>
    <row r="800" spans="1:14">
      <c r="A800">
        <v>4397585</v>
      </c>
      <c r="B800" t="s">
        <v>2944</v>
      </c>
      <c r="C800" t="str">
        <f>"9789004236738"</f>
        <v>9789004236738</v>
      </c>
      <c r="D800" t="str">
        <f>"9789004305861"</f>
        <v>9789004305861</v>
      </c>
      <c r="E800" t="s">
        <v>468</v>
      </c>
      <c r="F800" s="1">
        <v>42314</v>
      </c>
      <c r="G800" t="s">
        <v>16</v>
      </c>
      <c r="H800">
        <v>1</v>
      </c>
      <c r="I800" t="s">
        <v>2945</v>
      </c>
      <c r="J800" t="s">
        <v>2946</v>
      </c>
      <c r="K800" t="s">
        <v>94</v>
      </c>
      <c r="L800" t="s">
        <v>2947</v>
      </c>
      <c r="M800" t="s">
        <v>2948</v>
      </c>
      <c r="N800" t="s">
        <v>20</v>
      </c>
    </row>
    <row r="801" spans="1:14">
      <c r="A801">
        <v>4441487</v>
      </c>
      <c r="B801" t="s">
        <v>2949</v>
      </c>
      <c r="C801" t="str">
        <f>"9780231146753"</f>
        <v>9780231146753</v>
      </c>
      <c r="D801" t="str">
        <f>"9780231518505"</f>
        <v>9780231518505</v>
      </c>
      <c r="E801" t="s">
        <v>1379</v>
      </c>
      <c r="F801" s="1">
        <v>42479</v>
      </c>
      <c r="G801" t="s">
        <v>16</v>
      </c>
      <c r="J801" t="s">
        <v>2950</v>
      </c>
      <c r="K801" t="s">
        <v>18</v>
      </c>
      <c r="L801">
        <v>809.3</v>
      </c>
      <c r="M801" t="s">
        <v>2951</v>
      </c>
      <c r="N801" t="s">
        <v>20</v>
      </c>
    </row>
    <row r="802" spans="1:14">
      <c r="A802">
        <v>4452084</v>
      </c>
      <c r="B802" t="s">
        <v>2952</v>
      </c>
      <c r="C802" t="str">
        <f>"9789004109636"</f>
        <v>9789004109636</v>
      </c>
      <c r="D802" t="str">
        <f>"9789004188846"</f>
        <v>9789004188846</v>
      </c>
      <c r="E802" t="s">
        <v>468</v>
      </c>
      <c r="F802" s="1">
        <v>40225</v>
      </c>
      <c r="G802" t="s">
        <v>16</v>
      </c>
      <c r="H802">
        <v>1</v>
      </c>
      <c r="I802" t="s">
        <v>1646</v>
      </c>
      <c r="J802" t="s">
        <v>2953</v>
      </c>
      <c r="K802" t="s">
        <v>18</v>
      </c>
      <c r="L802">
        <v>882</v>
      </c>
      <c r="M802" t="s">
        <v>2954</v>
      </c>
      <c r="N802" t="s">
        <v>20</v>
      </c>
    </row>
    <row r="803" spans="1:14">
      <c r="A803">
        <v>4452165</v>
      </c>
      <c r="B803" t="s">
        <v>2955</v>
      </c>
      <c r="C803" t="str">
        <f>"9789004109889"</f>
        <v>9789004109889</v>
      </c>
      <c r="D803" t="str">
        <f>"9789004294103"</f>
        <v>9789004294103</v>
      </c>
      <c r="E803" t="s">
        <v>468</v>
      </c>
      <c r="F803" s="1">
        <v>36328</v>
      </c>
      <c r="G803" t="s">
        <v>16</v>
      </c>
      <c r="H803">
        <v>1</v>
      </c>
      <c r="I803" t="s">
        <v>469</v>
      </c>
      <c r="J803" t="s">
        <v>2956</v>
      </c>
      <c r="K803" t="s">
        <v>50</v>
      </c>
      <c r="L803">
        <v>939.43</v>
      </c>
      <c r="M803" t="s">
        <v>2957</v>
      </c>
      <c r="N803" t="s">
        <v>20</v>
      </c>
    </row>
    <row r="804" spans="1:14">
      <c r="A804">
        <v>4452173</v>
      </c>
      <c r="B804" t="s">
        <v>2958</v>
      </c>
      <c r="C804" t="str">
        <f>"9789004116450"</f>
        <v>9789004116450</v>
      </c>
      <c r="D804" t="str">
        <f>"9789004294158"</f>
        <v>9789004294158</v>
      </c>
      <c r="E804" t="s">
        <v>468</v>
      </c>
      <c r="F804" s="1">
        <v>36608</v>
      </c>
      <c r="G804" t="s">
        <v>16</v>
      </c>
      <c r="H804">
        <v>1</v>
      </c>
      <c r="I804" t="s">
        <v>469</v>
      </c>
      <c r="J804" t="s">
        <v>2959</v>
      </c>
      <c r="K804" t="s">
        <v>386</v>
      </c>
      <c r="L804">
        <v>492.29</v>
      </c>
      <c r="M804" t="s">
        <v>2960</v>
      </c>
      <c r="N804" t="s">
        <v>20</v>
      </c>
    </row>
    <row r="805" spans="1:14">
      <c r="A805">
        <v>4452196</v>
      </c>
      <c r="B805" t="s">
        <v>2961</v>
      </c>
      <c r="C805" t="str">
        <f>"9789004117716"</f>
        <v>9789004117716</v>
      </c>
      <c r="D805" t="str">
        <f>"9789004294202"</f>
        <v>9789004294202</v>
      </c>
      <c r="E805" t="s">
        <v>468</v>
      </c>
      <c r="F805" s="1">
        <v>36858</v>
      </c>
      <c r="G805" t="s">
        <v>16</v>
      </c>
      <c r="H805">
        <v>1</v>
      </c>
      <c r="I805" t="s">
        <v>469</v>
      </c>
      <c r="J805" t="s">
        <v>2962</v>
      </c>
      <c r="K805" t="s">
        <v>386</v>
      </c>
      <c r="L805" t="s">
        <v>2963</v>
      </c>
      <c r="M805" t="s">
        <v>2964</v>
      </c>
      <c r="N805" t="s">
        <v>20</v>
      </c>
    </row>
    <row r="806" spans="1:14">
      <c r="A806">
        <v>4452239</v>
      </c>
      <c r="B806" t="s">
        <v>2965</v>
      </c>
      <c r="C806" t="str">
        <f>"9789004104990"</f>
        <v>9789004104990</v>
      </c>
      <c r="D806" t="str">
        <f>"9789004305021"</f>
        <v>9789004305021</v>
      </c>
      <c r="E806" t="s">
        <v>468</v>
      </c>
      <c r="F806" s="1">
        <v>35765</v>
      </c>
      <c r="G806" t="s">
        <v>16</v>
      </c>
      <c r="H806">
        <v>2</v>
      </c>
      <c r="I806" t="s">
        <v>469</v>
      </c>
      <c r="J806" t="s">
        <v>2966</v>
      </c>
      <c r="K806" t="s">
        <v>386</v>
      </c>
      <c r="L806">
        <v>492.2</v>
      </c>
      <c r="M806" t="s">
        <v>2967</v>
      </c>
      <c r="N806" t="s">
        <v>20</v>
      </c>
    </row>
    <row r="807" spans="1:14">
      <c r="A807">
        <v>4452240</v>
      </c>
      <c r="B807" t="s">
        <v>2968</v>
      </c>
      <c r="C807" t="str">
        <f>"9789004115101"</f>
        <v>9789004115101</v>
      </c>
      <c r="D807" t="str">
        <f>"9789004305045"</f>
        <v>9789004305045</v>
      </c>
      <c r="E807" t="s">
        <v>468</v>
      </c>
      <c r="F807" s="1">
        <v>36319</v>
      </c>
      <c r="G807" t="s">
        <v>16</v>
      </c>
      <c r="H807">
        <v>1</v>
      </c>
      <c r="I807" t="s">
        <v>469</v>
      </c>
      <c r="J807" t="s">
        <v>2969</v>
      </c>
      <c r="K807" t="s">
        <v>386</v>
      </c>
      <c r="L807" t="s">
        <v>2970</v>
      </c>
      <c r="M807" t="s">
        <v>2971</v>
      </c>
      <c r="N807" t="s">
        <v>20</v>
      </c>
    </row>
    <row r="808" spans="1:14">
      <c r="A808">
        <v>4520122</v>
      </c>
      <c r="B808" t="s">
        <v>2972</v>
      </c>
      <c r="C808" t="str">
        <f>"9783527337040"</f>
        <v>9783527337040</v>
      </c>
      <c r="D808" t="str">
        <f>"9783527681945"</f>
        <v>9783527681945</v>
      </c>
      <c r="E808" t="s">
        <v>26</v>
      </c>
      <c r="F808" s="1">
        <v>42604</v>
      </c>
      <c r="G808" t="s">
        <v>16</v>
      </c>
      <c r="H808">
        <v>1</v>
      </c>
      <c r="J808" t="s">
        <v>2973</v>
      </c>
      <c r="K808" t="s">
        <v>1917</v>
      </c>
      <c r="L808">
        <v>20.727</v>
      </c>
      <c r="M808" t="s">
        <v>2974</v>
      </c>
      <c r="N808" t="s">
        <v>20</v>
      </c>
    </row>
    <row r="809" spans="1:14">
      <c r="A809">
        <v>4525874</v>
      </c>
      <c r="B809" t="s">
        <v>2975</v>
      </c>
      <c r="C809" t="str">
        <f>"9781611177091"</f>
        <v>9781611177091</v>
      </c>
      <c r="D809" t="str">
        <f>"9781611177107"</f>
        <v>9781611177107</v>
      </c>
      <c r="E809" t="s">
        <v>2976</v>
      </c>
      <c r="F809" s="1">
        <v>42689</v>
      </c>
      <c r="G809" t="s">
        <v>16</v>
      </c>
      <c r="I809" t="s">
        <v>2977</v>
      </c>
      <c r="J809" t="s">
        <v>2978</v>
      </c>
      <c r="K809" t="s">
        <v>474</v>
      </c>
      <c r="L809">
        <v>30</v>
      </c>
      <c r="M809" t="s">
        <v>2979</v>
      </c>
      <c r="N809" t="s">
        <v>20</v>
      </c>
    </row>
    <row r="810" spans="1:14">
      <c r="A810">
        <v>4540504</v>
      </c>
      <c r="B810" t="s">
        <v>2980</v>
      </c>
      <c r="C810" t="str">
        <f>"9789004243095"</f>
        <v>9789004243095</v>
      </c>
      <c r="D810" t="str">
        <f>"9789004307667"</f>
        <v>9789004307667</v>
      </c>
      <c r="E810" t="s">
        <v>468</v>
      </c>
      <c r="F810" s="1">
        <v>42425</v>
      </c>
      <c r="G810" t="s">
        <v>16</v>
      </c>
      <c r="H810">
        <v>1</v>
      </c>
      <c r="I810" t="s">
        <v>2945</v>
      </c>
      <c r="J810" t="s">
        <v>2981</v>
      </c>
      <c r="K810" t="s">
        <v>94</v>
      </c>
      <c r="L810" t="s">
        <v>2982</v>
      </c>
      <c r="M810" t="s">
        <v>2983</v>
      </c>
      <c r="N810" t="s">
        <v>20</v>
      </c>
    </row>
    <row r="811" spans="1:14">
      <c r="A811">
        <v>4561849</v>
      </c>
      <c r="B811" t="s">
        <v>2984</v>
      </c>
      <c r="C811" t="str">
        <f>"9780253021335"</f>
        <v>9780253021335</v>
      </c>
      <c r="D811" t="str">
        <f>"9780253021564"</f>
        <v>9780253021564</v>
      </c>
      <c r="E811" t="s">
        <v>1902</v>
      </c>
      <c r="F811" s="1">
        <v>42541</v>
      </c>
      <c r="G811" t="s">
        <v>16</v>
      </c>
      <c r="J811" t="s">
        <v>2985</v>
      </c>
      <c r="K811" t="s">
        <v>1313</v>
      </c>
      <c r="L811">
        <v>909.0496333003</v>
      </c>
      <c r="M811" t="s">
        <v>2986</v>
      </c>
      <c r="N811" t="s">
        <v>20</v>
      </c>
    </row>
    <row r="812" spans="1:14">
      <c r="A812">
        <v>4563532</v>
      </c>
      <c r="B812" t="s">
        <v>2987</v>
      </c>
      <c r="C812" t="str">
        <f>"9781591145448"</f>
        <v>9781591145448</v>
      </c>
      <c r="D812" t="str">
        <f>"9781612519548"</f>
        <v>9781612519548</v>
      </c>
      <c r="E812" t="s">
        <v>2988</v>
      </c>
      <c r="F812" s="1">
        <v>41373</v>
      </c>
      <c r="G812" t="s">
        <v>16</v>
      </c>
      <c r="J812" t="s">
        <v>2989</v>
      </c>
      <c r="K812" t="s">
        <v>50</v>
      </c>
      <c r="L812">
        <v>940.54</v>
      </c>
      <c r="M812" t="s">
        <v>2990</v>
      </c>
      <c r="N812" t="s">
        <v>20</v>
      </c>
    </row>
    <row r="813" spans="1:14">
      <c r="A813">
        <v>4634666</v>
      </c>
      <c r="B813" t="s">
        <v>2991</v>
      </c>
      <c r="C813" t="str">
        <f>"9780802048172"</f>
        <v>9780802048172</v>
      </c>
      <c r="D813" t="str">
        <f>"9781442670884"</f>
        <v>9781442670884</v>
      </c>
      <c r="E813" t="s">
        <v>2992</v>
      </c>
      <c r="F813" s="1">
        <v>37947</v>
      </c>
      <c r="G813" t="s">
        <v>16</v>
      </c>
      <c r="J813" t="s">
        <v>2993</v>
      </c>
      <c r="K813" t="s">
        <v>2994</v>
      </c>
      <c r="L813">
        <v>596</v>
      </c>
      <c r="M813" t="s">
        <v>2995</v>
      </c>
      <c r="N813" t="s">
        <v>20</v>
      </c>
    </row>
    <row r="814" spans="1:14">
      <c r="A814">
        <v>4643545</v>
      </c>
      <c r="B814" t="s">
        <v>2996</v>
      </c>
      <c r="C814" t="str">
        <f>"9780300113006"</f>
        <v>9780300113006</v>
      </c>
      <c r="D814" t="str">
        <f>"9780300156065"</f>
        <v>9780300156065</v>
      </c>
      <c r="E814" t="s">
        <v>2739</v>
      </c>
      <c r="F814" s="1">
        <v>39945</v>
      </c>
      <c r="G814" t="s">
        <v>16</v>
      </c>
      <c r="I814" t="s">
        <v>2997</v>
      </c>
      <c r="J814" t="s">
        <v>2998</v>
      </c>
      <c r="K814" t="s">
        <v>269</v>
      </c>
      <c r="L814">
        <v>340.09219999999999</v>
      </c>
      <c r="M814" t="s">
        <v>2999</v>
      </c>
      <c r="N814" t="s">
        <v>20</v>
      </c>
    </row>
    <row r="815" spans="1:14">
      <c r="A815">
        <v>4661498</v>
      </c>
      <c r="B815" t="s">
        <v>3000</v>
      </c>
      <c r="C815" t="str">
        <f>"9780804783415"</f>
        <v>9780804783415</v>
      </c>
      <c r="D815" t="str">
        <f>"9781503600225"</f>
        <v>9781503600225</v>
      </c>
      <c r="E815" t="s">
        <v>3001</v>
      </c>
      <c r="F815" s="1">
        <v>42620</v>
      </c>
      <c r="G815" t="s">
        <v>16</v>
      </c>
      <c r="H815">
        <v>2</v>
      </c>
      <c r="J815" t="s">
        <v>3002</v>
      </c>
      <c r="K815" t="s">
        <v>55</v>
      </c>
      <c r="L815">
        <v>301.02999999999997</v>
      </c>
      <c r="M815" t="s">
        <v>198</v>
      </c>
      <c r="N815" t="s">
        <v>20</v>
      </c>
    </row>
    <row r="816" spans="1:14">
      <c r="A816">
        <v>4671975</v>
      </c>
      <c r="B816" t="s">
        <v>14</v>
      </c>
      <c r="C816" t="str">
        <f>"9780802026767"</f>
        <v>9780802026767</v>
      </c>
      <c r="D816" t="str">
        <f>"9781442680104"</f>
        <v>9781442680104</v>
      </c>
      <c r="E816" t="s">
        <v>2992</v>
      </c>
      <c r="F816" s="1">
        <v>33208</v>
      </c>
      <c r="G816" t="s">
        <v>16</v>
      </c>
      <c r="J816" t="s">
        <v>3003</v>
      </c>
      <c r="K816" t="s">
        <v>18</v>
      </c>
      <c r="L816">
        <v>821.3</v>
      </c>
      <c r="N816" t="s">
        <v>20</v>
      </c>
    </row>
    <row r="817" spans="1:14">
      <c r="A817">
        <v>4672841</v>
      </c>
      <c r="B817" t="s">
        <v>3004</v>
      </c>
      <c r="C817" t="str">
        <f>"9781442611696"</f>
        <v>9781442611696</v>
      </c>
      <c r="D817" t="str">
        <f>"9781442695528"</f>
        <v>9781442695528</v>
      </c>
      <c r="E817" t="s">
        <v>2992</v>
      </c>
      <c r="F817" s="1">
        <v>41383</v>
      </c>
      <c r="G817" t="s">
        <v>16</v>
      </c>
      <c r="J817" t="s">
        <v>3005</v>
      </c>
      <c r="K817" t="s">
        <v>55</v>
      </c>
      <c r="L817">
        <v>302.20299999999901</v>
      </c>
      <c r="M817" t="s">
        <v>3006</v>
      </c>
      <c r="N817" t="s">
        <v>20</v>
      </c>
    </row>
    <row r="818" spans="1:14">
      <c r="A818">
        <v>4674267</v>
      </c>
      <c r="B818" t="s">
        <v>3007</v>
      </c>
      <c r="C818" t="str">
        <f>"9780253022448"</f>
        <v>9780253022448</v>
      </c>
      <c r="D818" t="str">
        <f>"9780253022561"</f>
        <v>9780253022561</v>
      </c>
      <c r="E818" t="s">
        <v>1902</v>
      </c>
      <c r="F818" s="1">
        <v>42590</v>
      </c>
      <c r="G818" t="s">
        <v>16</v>
      </c>
      <c r="I818" t="s">
        <v>3008</v>
      </c>
      <c r="J818" t="s">
        <v>3009</v>
      </c>
      <c r="K818" t="s">
        <v>891</v>
      </c>
      <c r="L818">
        <v>910.3</v>
      </c>
      <c r="M818" t="s">
        <v>3010</v>
      </c>
      <c r="N818" t="s">
        <v>20</v>
      </c>
    </row>
    <row r="819" spans="1:14">
      <c r="A819">
        <v>4676100</v>
      </c>
      <c r="B819" t="s">
        <v>3011</v>
      </c>
      <c r="C819" t="str">
        <f>"9780830824557"</f>
        <v>9780830824557</v>
      </c>
      <c r="D819" t="str">
        <f>"9780830879625"</f>
        <v>9780830879625</v>
      </c>
      <c r="E819" t="s">
        <v>2344</v>
      </c>
      <c r="F819" s="1">
        <v>39533</v>
      </c>
      <c r="G819" t="s">
        <v>16</v>
      </c>
      <c r="H819">
        <v>2</v>
      </c>
      <c r="J819" t="s">
        <v>3012</v>
      </c>
      <c r="K819" t="s">
        <v>94</v>
      </c>
      <c r="L819">
        <v>230.03</v>
      </c>
      <c r="M819" t="s">
        <v>3013</v>
      </c>
      <c r="N819" t="s">
        <v>20</v>
      </c>
    </row>
    <row r="820" spans="1:14">
      <c r="A820">
        <v>4699938</v>
      </c>
      <c r="B820" t="s">
        <v>3014</v>
      </c>
      <c r="C820" t="str">
        <f>"9781442615991"</f>
        <v>9781442615991</v>
      </c>
      <c r="D820" t="str">
        <f>"9781442669499"</f>
        <v>9781442669499</v>
      </c>
      <c r="E820" t="s">
        <v>2992</v>
      </c>
      <c r="F820" s="1">
        <v>42625</v>
      </c>
      <c r="G820" t="s">
        <v>16</v>
      </c>
      <c r="J820" t="s">
        <v>3015</v>
      </c>
      <c r="K820" t="s">
        <v>386</v>
      </c>
      <c r="L820">
        <v>427</v>
      </c>
      <c r="M820" t="s">
        <v>3016</v>
      </c>
      <c r="N820" t="s">
        <v>20</v>
      </c>
    </row>
    <row r="821" spans="1:14">
      <c r="A821">
        <v>4715158</v>
      </c>
      <c r="B821" t="s">
        <v>3017</v>
      </c>
      <c r="C821" t="str">
        <f>"9789004321465"</f>
        <v>9789004321465</v>
      </c>
      <c r="D821" t="str">
        <f>"9789004321823"</f>
        <v>9789004321823</v>
      </c>
      <c r="E821" t="s">
        <v>468</v>
      </c>
      <c r="F821" s="1">
        <v>42670</v>
      </c>
      <c r="G821" t="s">
        <v>16</v>
      </c>
      <c r="H821">
        <v>1</v>
      </c>
      <c r="I821" t="s">
        <v>469</v>
      </c>
      <c r="J821" t="s">
        <v>3018</v>
      </c>
      <c r="K821" t="s">
        <v>386</v>
      </c>
      <c r="L821">
        <v>492.73928000000001</v>
      </c>
      <c r="M821" t="s">
        <v>3019</v>
      </c>
      <c r="N821" t="s">
        <v>20</v>
      </c>
    </row>
    <row r="822" spans="1:14">
      <c r="A822">
        <v>4727838</v>
      </c>
      <c r="B822" t="s">
        <v>3020</v>
      </c>
      <c r="C822" t="str">
        <f>"9789004325692"</f>
        <v>9789004325692</v>
      </c>
      <c r="D822" t="str">
        <f>"9789004326422"</f>
        <v>9789004326422</v>
      </c>
      <c r="E822" t="s">
        <v>468</v>
      </c>
      <c r="F822" s="1">
        <v>42689</v>
      </c>
      <c r="G822" t="s">
        <v>16</v>
      </c>
      <c r="H822">
        <v>1</v>
      </c>
      <c r="I822" t="s">
        <v>469</v>
      </c>
      <c r="J822" t="s">
        <v>3021</v>
      </c>
      <c r="K822" t="s">
        <v>386</v>
      </c>
      <c r="L822">
        <v>492.77095331999902</v>
      </c>
      <c r="M822" t="s">
        <v>3022</v>
      </c>
      <c r="N822" t="s">
        <v>20</v>
      </c>
    </row>
    <row r="823" spans="1:14">
      <c r="A823">
        <v>4731143</v>
      </c>
      <c r="B823" t="s">
        <v>3023</v>
      </c>
      <c r="C823" t="str">
        <f>"9789004326316"</f>
        <v>9789004326316</v>
      </c>
      <c r="D823" t="str">
        <f>"9789004326323"</f>
        <v>9789004326323</v>
      </c>
      <c r="E823" t="s">
        <v>468</v>
      </c>
      <c r="F823" s="1">
        <v>42684</v>
      </c>
      <c r="G823" t="s">
        <v>16</v>
      </c>
      <c r="H823">
        <v>1</v>
      </c>
      <c r="I823" t="s">
        <v>469</v>
      </c>
      <c r="J823" t="s">
        <v>3024</v>
      </c>
      <c r="K823" t="s">
        <v>18</v>
      </c>
      <c r="L823" t="s">
        <v>3025</v>
      </c>
      <c r="M823" t="s">
        <v>3026</v>
      </c>
      <c r="N823" t="s">
        <v>20</v>
      </c>
    </row>
    <row r="824" spans="1:14">
      <c r="A824">
        <v>4734083</v>
      </c>
      <c r="B824" t="s">
        <v>3027</v>
      </c>
      <c r="C824" t="str">
        <f>"9789004323308"</f>
        <v>9789004323308</v>
      </c>
      <c r="D824" t="str">
        <f>"9789004326262"</f>
        <v>9789004326262</v>
      </c>
      <c r="E824" t="s">
        <v>468</v>
      </c>
      <c r="F824" s="1">
        <v>42684</v>
      </c>
      <c r="G824" t="s">
        <v>16</v>
      </c>
      <c r="H824">
        <v>1</v>
      </c>
      <c r="I824" t="s">
        <v>469</v>
      </c>
      <c r="J824" t="s">
        <v>3024</v>
      </c>
      <c r="K824" t="s">
        <v>18</v>
      </c>
      <c r="L824" t="s">
        <v>3025</v>
      </c>
      <c r="M824" t="s">
        <v>3026</v>
      </c>
      <c r="N824" t="s">
        <v>20</v>
      </c>
    </row>
    <row r="825" spans="1:14">
      <c r="A825">
        <v>4737083</v>
      </c>
      <c r="B825" t="s">
        <v>3028</v>
      </c>
      <c r="C825" t="str">
        <f>"9780262035170"</f>
        <v>9780262035170</v>
      </c>
      <c r="D825" t="str">
        <f>"9780262336291"</f>
        <v>9780262336291</v>
      </c>
      <c r="E825" t="s">
        <v>2604</v>
      </c>
      <c r="F825" s="1">
        <v>42685</v>
      </c>
      <c r="G825" t="s">
        <v>16</v>
      </c>
      <c r="I825" t="s">
        <v>2605</v>
      </c>
      <c r="J825" t="s">
        <v>3029</v>
      </c>
      <c r="K825" t="s">
        <v>29</v>
      </c>
      <c r="L825">
        <v>650.1</v>
      </c>
      <c r="M825" t="s">
        <v>3030</v>
      </c>
      <c r="N825" t="s">
        <v>20</v>
      </c>
    </row>
    <row r="826" spans="1:14">
      <c r="A826">
        <v>4742409</v>
      </c>
      <c r="B826" t="s">
        <v>3031</v>
      </c>
      <c r="C826" t="str">
        <f>"9781557536747"</f>
        <v>9781557536747</v>
      </c>
      <c r="D826" t="str">
        <f>"9781612493138"</f>
        <v>9781612493138</v>
      </c>
      <c r="E826" t="s">
        <v>3032</v>
      </c>
      <c r="F826" s="1">
        <v>41713</v>
      </c>
      <c r="G826" t="s">
        <v>16</v>
      </c>
      <c r="J826" t="s">
        <v>3033</v>
      </c>
      <c r="K826" t="s">
        <v>408</v>
      </c>
      <c r="L826" t="s">
        <v>3034</v>
      </c>
      <c r="M826" t="s">
        <v>3035</v>
      </c>
      <c r="N826" t="s">
        <v>20</v>
      </c>
    </row>
    <row r="827" spans="1:14">
      <c r="A827">
        <v>4751054</v>
      </c>
      <c r="B827" t="s">
        <v>3036</v>
      </c>
      <c r="C827" t="str">
        <f>"9789004206243"</f>
        <v>9789004206243</v>
      </c>
      <c r="D827" t="str">
        <f>"9789004266179"</f>
        <v>9789004266179</v>
      </c>
      <c r="E827" t="s">
        <v>468</v>
      </c>
      <c r="F827" s="1">
        <v>41781</v>
      </c>
      <c r="G827" t="s">
        <v>16</v>
      </c>
      <c r="J827" t="s">
        <v>3037</v>
      </c>
      <c r="K827" t="s">
        <v>55</v>
      </c>
      <c r="L827">
        <v>301.02999999999997</v>
      </c>
      <c r="M827" t="s">
        <v>3038</v>
      </c>
      <c r="N827" t="s">
        <v>20</v>
      </c>
    </row>
    <row r="828" spans="1:14">
      <c r="A828">
        <v>4777260</v>
      </c>
      <c r="B828" t="s">
        <v>3039</v>
      </c>
      <c r="C828" t="str">
        <f>"9780719091391"</f>
        <v>9780719091391</v>
      </c>
      <c r="D828" t="str">
        <f>"9781526111975"</f>
        <v>9781526111975</v>
      </c>
      <c r="E828" t="s">
        <v>3040</v>
      </c>
      <c r="F828" s="1">
        <v>41698</v>
      </c>
      <c r="G828" t="s">
        <v>16</v>
      </c>
      <c r="H828">
        <v>4</v>
      </c>
      <c r="J828" t="s">
        <v>3041</v>
      </c>
      <c r="K828" t="s">
        <v>35</v>
      </c>
      <c r="L828">
        <v>791.43094102999999</v>
      </c>
      <c r="M828" t="s">
        <v>3042</v>
      </c>
      <c r="N828" t="s">
        <v>20</v>
      </c>
    </row>
    <row r="829" spans="1:14">
      <c r="A829">
        <v>4777309</v>
      </c>
      <c r="B829" t="s">
        <v>3043</v>
      </c>
      <c r="C829" t="str">
        <f>"9780813169255"</f>
        <v>9780813169255</v>
      </c>
      <c r="D829" t="str">
        <f>"9780813169279"</f>
        <v>9780813169279</v>
      </c>
      <c r="E829" t="s">
        <v>2315</v>
      </c>
      <c r="F829" s="1">
        <v>42790</v>
      </c>
      <c r="G829" t="s">
        <v>16</v>
      </c>
      <c r="J829" t="s">
        <v>3044</v>
      </c>
      <c r="K829" t="s">
        <v>50</v>
      </c>
      <c r="L829">
        <v>976.97540000000004</v>
      </c>
      <c r="M829" t="s">
        <v>3045</v>
      </c>
      <c r="N829" t="s">
        <v>20</v>
      </c>
    </row>
    <row r="830" spans="1:14">
      <c r="A830">
        <v>4790483</v>
      </c>
      <c r="B830" t="s">
        <v>3046</v>
      </c>
      <c r="C830" t="str">
        <f>"9789004122512"</f>
        <v>9789004122512</v>
      </c>
      <c r="D830" t="str">
        <f>"9789004294264"</f>
        <v>9789004294264</v>
      </c>
      <c r="E830" t="s">
        <v>468</v>
      </c>
      <c r="F830" s="1">
        <v>37967</v>
      </c>
      <c r="G830" t="s">
        <v>16</v>
      </c>
      <c r="I830" t="s">
        <v>469</v>
      </c>
      <c r="J830" t="s">
        <v>3047</v>
      </c>
      <c r="K830" t="s">
        <v>94</v>
      </c>
      <c r="L830" t="s">
        <v>3048</v>
      </c>
      <c r="M830" t="s">
        <v>3049</v>
      </c>
      <c r="N830" t="s">
        <v>20</v>
      </c>
    </row>
    <row r="831" spans="1:14">
      <c r="A831">
        <v>4807025</v>
      </c>
      <c r="B831" t="s">
        <v>3050</v>
      </c>
      <c r="C831" t="str">
        <f>"9781632650825"</f>
        <v>9781632650825</v>
      </c>
      <c r="D831" t="str">
        <f>"9781632659217"</f>
        <v>9781632659217</v>
      </c>
      <c r="E831" t="s">
        <v>3051</v>
      </c>
      <c r="F831" s="1">
        <v>42870</v>
      </c>
      <c r="G831" t="s">
        <v>16</v>
      </c>
      <c r="H831">
        <v>2</v>
      </c>
      <c r="J831" t="s">
        <v>3052</v>
      </c>
      <c r="K831" t="s">
        <v>408</v>
      </c>
      <c r="L831">
        <v>378.30973</v>
      </c>
      <c r="M831" t="s">
        <v>3053</v>
      </c>
      <c r="N831" t="s">
        <v>20</v>
      </c>
    </row>
    <row r="832" spans="1:14">
      <c r="A832">
        <v>4807035</v>
      </c>
      <c r="B832" t="s">
        <v>3054</v>
      </c>
      <c r="C832" t="str">
        <f>"9781632650917"</f>
        <v>9781632650917</v>
      </c>
      <c r="D832" t="str">
        <f>"9781632659125"</f>
        <v>9781632659125</v>
      </c>
      <c r="E832" t="s">
        <v>3051</v>
      </c>
      <c r="F832" s="1">
        <v>42842</v>
      </c>
      <c r="G832" t="s">
        <v>16</v>
      </c>
      <c r="J832" t="s">
        <v>3055</v>
      </c>
      <c r="K832" t="s">
        <v>386</v>
      </c>
      <c r="L832">
        <v>428.2</v>
      </c>
      <c r="M832" t="s">
        <v>3056</v>
      </c>
      <c r="N832" t="s">
        <v>20</v>
      </c>
    </row>
    <row r="833" spans="1:14">
      <c r="A833">
        <v>4812552</v>
      </c>
      <c r="B833" t="s">
        <v>3057</v>
      </c>
      <c r="C833" t="str">
        <f>"9789004099449"</f>
        <v>9789004099449</v>
      </c>
      <c r="D833" t="str">
        <f>"9789004217614"</f>
        <v>9789004217614</v>
      </c>
      <c r="E833" t="s">
        <v>468</v>
      </c>
      <c r="F833" s="1">
        <v>35674</v>
      </c>
      <c r="G833" t="s">
        <v>16</v>
      </c>
      <c r="I833" t="s">
        <v>3058</v>
      </c>
      <c r="J833" t="s">
        <v>3059</v>
      </c>
      <c r="K833" t="s">
        <v>18</v>
      </c>
      <c r="L833" t="s">
        <v>3060</v>
      </c>
      <c r="N833" t="s">
        <v>20</v>
      </c>
    </row>
    <row r="834" spans="1:14">
      <c r="A834">
        <v>4857936</v>
      </c>
      <c r="B834" t="s">
        <v>3061</v>
      </c>
      <c r="C834" t="str">
        <f>"9781443873307"</f>
        <v>9781443873307</v>
      </c>
      <c r="D834" t="str">
        <f>"9781443891509"</f>
        <v>9781443891509</v>
      </c>
      <c r="E834" t="s">
        <v>3062</v>
      </c>
      <c r="F834" s="1">
        <v>42856</v>
      </c>
      <c r="G834" t="s">
        <v>16</v>
      </c>
      <c r="H834">
        <v>1</v>
      </c>
      <c r="J834" t="s">
        <v>3063</v>
      </c>
      <c r="K834" t="s">
        <v>55</v>
      </c>
      <c r="L834">
        <v>398.05</v>
      </c>
      <c r="M834" t="s">
        <v>3064</v>
      </c>
      <c r="N834" t="s">
        <v>20</v>
      </c>
    </row>
    <row r="835" spans="1:14">
      <c r="A835">
        <v>4859147</v>
      </c>
      <c r="B835" t="s">
        <v>3065</v>
      </c>
      <c r="C835" t="str">
        <f>"9780802872326"</f>
        <v>9780802872326</v>
      </c>
      <c r="D835" t="str">
        <f>"9781467443258"</f>
        <v>9781467443258</v>
      </c>
      <c r="E835" t="s">
        <v>3066</v>
      </c>
      <c r="F835" s="1">
        <v>42050</v>
      </c>
      <c r="G835" t="s">
        <v>16</v>
      </c>
      <c r="J835" t="s">
        <v>3067</v>
      </c>
      <c r="K835" t="s">
        <v>94</v>
      </c>
      <c r="L835">
        <v>230.03</v>
      </c>
      <c r="M835" t="s">
        <v>3068</v>
      </c>
      <c r="N835" t="s">
        <v>20</v>
      </c>
    </row>
    <row r="836" spans="1:14">
      <c r="A836">
        <v>4865227</v>
      </c>
      <c r="B836" t="s">
        <v>3069</v>
      </c>
      <c r="C836" t="str">
        <f>"9781563681301"</f>
        <v>9781563681301</v>
      </c>
      <c r="D836" t="str">
        <f>"9781563681820"</f>
        <v>9781563681820</v>
      </c>
      <c r="E836" t="s">
        <v>3070</v>
      </c>
      <c r="F836" s="1">
        <v>37524</v>
      </c>
      <c r="G836" t="s">
        <v>16</v>
      </c>
      <c r="J836" t="s">
        <v>3071</v>
      </c>
      <c r="K836" t="s">
        <v>1862</v>
      </c>
      <c r="L836">
        <v>419.7</v>
      </c>
      <c r="M836" t="s">
        <v>3072</v>
      </c>
      <c r="N836" t="s">
        <v>20</v>
      </c>
    </row>
    <row r="837" spans="1:14">
      <c r="A837">
        <v>4867986</v>
      </c>
      <c r="B837" t="s">
        <v>3073</v>
      </c>
      <c r="C837" t="str">
        <f>"9789050115964"</f>
        <v>9789050115964</v>
      </c>
      <c r="D837" t="str">
        <f>"9789004343788"</f>
        <v>9789004343788</v>
      </c>
      <c r="E837" t="s">
        <v>3074</v>
      </c>
      <c r="F837" s="1">
        <v>42752</v>
      </c>
      <c r="G837" t="s">
        <v>16</v>
      </c>
      <c r="J837" t="s">
        <v>3075</v>
      </c>
      <c r="K837" t="s">
        <v>474</v>
      </c>
      <c r="L837">
        <v>16.5079999999999</v>
      </c>
      <c r="M837" t="s">
        <v>3076</v>
      </c>
      <c r="N837" t="s">
        <v>20</v>
      </c>
    </row>
    <row r="838" spans="1:14">
      <c r="A838">
        <v>4870992</v>
      </c>
      <c r="B838" t="s">
        <v>3077</v>
      </c>
      <c r="C838" t="str">
        <f>""</f>
        <v/>
      </c>
      <c r="D838" t="str">
        <f>"9781846748875"</f>
        <v>9781846748875</v>
      </c>
      <c r="E838" t="s">
        <v>2384</v>
      </c>
      <c r="F838" s="1">
        <v>38600</v>
      </c>
      <c r="G838" t="s">
        <v>16</v>
      </c>
      <c r="J838" t="s">
        <v>3078</v>
      </c>
      <c r="K838" t="s">
        <v>50</v>
      </c>
      <c r="N838" t="s">
        <v>20</v>
      </c>
    </row>
    <row r="839" spans="1:14">
      <c r="A839">
        <v>4876937</v>
      </c>
      <c r="B839" t="s">
        <v>3079</v>
      </c>
      <c r="C839" t="str">
        <f>"9781423225959"</f>
        <v>9781423225959</v>
      </c>
      <c r="D839" t="str">
        <f>"9781423228394"</f>
        <v>9781423228394</v>
      </c>
      <c r="E839" t="s">
        <v>3080</v>
      </c>
      <c r="F839" s="1">
        <v>42155</v>
      </c>
      <c r="G839" t="s">
        <v>16</v>
      </c>
      <c r="J839" t="s">
        <v>3081</v>
      </c>
      <c r="K839" t="s">
        <v>408</v>
      </c>
      <c r="L839">
        <v>378.10570951</v>
      </c>
      <c r="M839" t="s">
        <v>3082</v>
      </c>
      <c r="N839" t="s">
        <v>20</v>
      </c>
    </row>
    <row r="840" spans="1:14">
      <c r="A840">
        <v>4876938</v>
      </c>
      <c r="B840" t="s">
        <v>3083</v>
      </c>
      <c r="C840" t="str">
        <f>"9781423225355"</f>
        <v>9781423225355</v>
      </c>
      <c r="D840" t="str">
        <f>"9781423228370"</f>
        <v>9781423228370</v>
      </c>
      <c r="E840" t="s">
        <v>3080</v>
      </c>
      <c r="F840" s="1">
        <v>42155</v>
      </c>
      <c r="G840" t="s">
        <v>16</v>
      </c>
      <c r="J840" t="s">
        <v>3080</v>
      </c>
      <c r="K840" t="s">
        <v>18</v>
      </c>
      <c r="L840">
        <v>808.02702855359996</v>
      </c>
      <c r="M840" t="s">
        <v>3084</v>
      </c>
      <c r="N840" t="s">
        <v>20</v>
      </c>
    </row>
    <row r="841" spans="1:14">
      <c r="A841">
        <v>4876944</v>
      </c>
      <c r="B841" t="s">
        <v>3085</v>
      </c>
      <c r="C841" t="str">
        <f>"9781423225331"</f>
        <v>9781423225331</v>
      </c>
      <c r="D841" t="str">
        <f>"9781423228264"</f>
        <v>9781423228264</v>
      </c>
      <c r="E841" t="s">
        <v>3080</v>
      </c>
      <c r="F841" s="1">
        <v>40147</v>
      </c>
      <c r="G841" t="s">
        <v>16</v>
      </c>
      <c r="J841" t="s">
        <v>3086</v>
      </c>
      <c r="K841" t="s">
        <v>3087</v>
      </c>
      <c r="L841">
        <v>808.02</v>
      </c>
      <c r="M841" t="s">
        <v>3088</v>
      </c>
      <c r="N841" t="s">
        <v>20</v>
      </c>
    </row>
    <row r="842" spans="1:14">
      <c r="A842">
        <v>4877395</v>
      </c>
      <c r="B842" t="s">
        <v>3089</v>
      </c>
      <c r="C842" t="str">
        <f>"9781572227880"</f>
        <v>9781572227880</v>
      </c>
      <c r="D842" t="str">
        <f>"9781423201946"</f>
        <v>9781423201946</v>
      </c>
      <c r="E842" t="s">
        <v>3080</v>
      </c>
      <c r="F842" s="1">
        <v>37766</v>
      </c>
      <c r="G842" t="s">
        <v>16</v>
      </c>
      <c r="I842" t="s">
        <v>3090</v>
      </c>
      <c r="J842" t="s">
        <v>3091</v>
      </c>
      <c r="K842" t="s">
        <v>386</v>
      </c>
      <c r="L842">
        <v>421.52</v>
      </c>
      <c r="M842" t="s">
        <v>3092</v>
      </c>
      <c r="N842" t="s">
        <v>20</v>
      </c>
    </row>
    <row r="843" spans="1:14">
      <c r="A843">
        <v>4908623</v>
      </c>
      <c r="B843" t="s">
        <v>2766</v>
      </c>
      <c r="C843" t="str">
        <f>"9781760461256"</f>
        <v>9781760461256</v>
      </c>
      <c r="D843" t="str">
        <f>"9781760461263"</f>
        <v>9781760461263</v>
      </c>
      <c r="E843" t="s">
        <v>2763</v>
      </c>
      <c r="F843" s="1">
        <v>42860</v>
      </c>
      <c r="G843" t="s">
        <v>16</v>
      </c>
      <c r="H843">
        <v>4</v>
      </c>
      <c r="I843" t="s">
        <v>3093</v>
      </c>
      <c r="J843" t="s">
        <v>2767</v>
      </c>
      <c r="K843" t="s">
        <v>50</v>
      </c>
      <c r="L843">
        <v>920.02</v>
      </c>
      <c r="M843" t="s">
        <v>3094</v>
      </c>
      <c r="N843" t="s">
        <v>20</v>
      </c>
    </row>
    <row r="844" spans="1:14">
      <c r="A844">
        <v>4909986</v>
      </c>
      <c r="B844" t="s">
        <v>3095</v>
      </c>
      <c r="C844" t="str">
        <f>"9780877796336"</f>
        <v>9780877796336</v>
      </c>
      <c r="D844" t="str">
        <f>"9780877797975"</f>
        <v>9780877797975</v>
      </c>
      <c r="E844" t="s">
        <v>3096</v>
      </c>
      <c r="F844" s="1">
        <v>37371</v>
      </c>
      <c r="G844" t="s">
        <v>16</v>
      </c>
      <c r="J844" t="s">
        <v>3096</v>
      </c>
      <c r="K844" t="s">
        <v>386</v>
      </c>
      <c r="L844">
        <v>423.1</v>
      </c>
      <c r="M844" t="s">
        <v>3097</v>
      </c>
      <c r="N844" t="s">
        <v>20</v>
      </c>
    </row>
    <row r="845" spans="1:14">
      <c r="A845">
        <v>4935583</v>
      </c>
      <c r="B845" t="s">
        <v>3098</v>
      </c>
      <c r="C845" t="str">
        <f>"9781945612428"</f>
        <v>9781945612428</v>
      </c>
      <c r="D845" t="str">
        <f>"9781945612435"</f>
        <v>9781945612435</v>
      </c>
      <c r="E845" t="s">
        <v>3099</v>
      </c>
      <c r="F845" s="1">
        <v>42947</v>
      </c>
      <c r="G845" t="s">
        <v>16</v>
      </c>
      <c r="J845" t="s">
        <v>3100</v>
      </c>
      <c r="K845" t="s">
        <v>3101</v>
      </c>
      <c r="N845" t="s">
        <v>20</v>
      </c>
    </row>
    <row r="846" spans="1:14">
      <c r="A846">
        <v>4947022</v>
      </c>
      <c r="B846" t="s">
        <v>3102</v>
      </c>
      <c r="C846" t="str">
        <f>"9780826133045"</f>
        <v>9780826133045</v>
      </c>
      <c r="D846" t="str">
        <f>"9780826133052"</f>
        <v>9780826133052</v>
      </c>
      <c r="E846" t="s">
        <v>379</v>
      </c>
      <c r="F846" s="1">
        <v>42975</v>
      </c>
      <c r="G846" t="s">
        <v>16</v>
      </c>
      <c r="H846">
        <v>4</v>
      </c>
      <c r="J846" t="s">
        <v>3103</v>
      </c>
      <c r="K846" t="s">
        <v>1776</v>
      </c>
      <c r="L846">
        <v>610.73072000000002</v>
      </c>
      <c r="M846" t="s">
        <v>3104</v>
      </c>
      <c r="N846" t="s">
        <v>20</v>
      </c>
    </row>
    <row r="847" spans="1:14">
      <c r="A847">
        <v>4985939</v>
      </c>
      <c r="B847" t="s">
        <v>3105</v>
      </c>
      <c r="C847" t="str">
        <f>"9780252087240"</f>
        <v>9780252087240</v>
      </c>
      <c r="D847" t="str">
        <f>"9780252099779"</f>
        <v>9780252099779</v>
      </c>
      <c r="E847" t="s">
        <v>2734</v>
      </c>
      <c r="F847" s="1">
        <v>42963</v>
      </c>
      <c r="G847" t="s">
        <v>16</v>
      </c>
      <c r="I847" t="s">
        <v>3106</v>
      </c>
      <c r="J847" t="s">
        <v>3107</v>
      </c>
      <c r="K847" t="s">
        <v>1194</v>
      </c>
      <c r="L847">
        <v>664.00973109999904</v>
      </c>
      <c r="M847" t="s">
        <v>3108</v>
      </c>
      <c r="N847" t="s">
        <v>20</v>
      </c>
    </row>
    <row r="848" spans="1:14">
      <c r="A848">
        <v>5100745</v>
      </c>
      <c r="B848" t="s">
        <v>3109</v>
      </c>
      <c r="C848" t="str">
        <f>"9789004356887"</f>
        <v>9789004356887</v>
      </c>
      <c r="D848" t="str">
        <f>"9789004356894"</f>
        <v>9789004356894</v>
      </c>
      <c r="E848" t="s">
        <v>468</v>
      </c>
      <c r="F848" s="1">
        <v>43028</v>
      </c>
      <c r="G848" t="s">
        <v>16</v>
      </c>
      <c r="I848" t="s">
        <v>3110</v>
      </c>
      <c r="J848" t="s">
        <v>3111</v>
      </c>
      <c r="K848" t="s">
        <v>479</v>
      </c>
      <c r="L848">
        <v>335.83</v>
      </c>
      <c r="M848" t="s">
        <v>3112</v>
      </c>
      <c r="N848" t="s">
        <v>20</v>
      </c>
    </row>
    <row r="849" spans="1:14">
      <c r="A849">
        <v>5118016</v>
      </c>
      <c r="B849" t="s">
        <v>3113</v>
      </c>
      <c r="C849" t="str">
        <f>"9781945612466"</f>
        <v>9781945612466</v>
      </c>
      <c r="D849" t="str">
        <f>"9781945612473"</f>
        <v>9781945612473</v>
      </c>
      <c r="E849" t="s">
        <v>3099</v>
      </c>
      <c r="F849" s="1">
        <v>43038</v>
      </c>
      <c r="G849" t="s">
        <v>16</v>
      </c>
      <c r="J849" t="s">
        <v>3114</v>
      </c>
      <c r="K849" t="s">
        <v>3115</v>
      </c>
      <c r="N849" t="s">
        <v>20</v>
      </c>
    </row>
    <row r="850" spans="1:14">
      <c r="A850">
        <v>5177862</v>
      </c>
      <c r="B850" t="s">
        <v>3116</v>
      </c>
      <c r="C850" t="str">
        <f>"9780826132345"</f>
        <v>9780826132345</v>
      </c>
      <c r="D850" t="str">
        <f>"9780826132444"</f>
        <v>9780826132444</v>
      </c>
      <c r="E850" t="s">
        <v>379</v>
      </c>
      <c r="F850" s="1">
        <v>43097</v>
      </c>
      <c r="G850" t="s">
        <v>16</v>
      </c>
      <c r="H850">
        <v>1</v>
      </c>
      <c r="J850" t="s">
        <v>3117</v>
      </c>
      <c r="K850" t="s">
        <v>1776</v>
      </c>
      <c r="L850">
        <v>610.73</v>
      </c>
      <c r="M850" t="s">
        <v>3118</v>
      </c>
      <c r="N850" t="s">
        <v>20</v>
      </c>
    </row>
    <row r="851" spans="1:14">
      <c r="A851">
        <v>5181124</v>
      </c>
      <c r="B851" t="s">
        <v>3119</v>
      </c>
      <c r="C851" t="str">
        <f>"9780826140524"</f>
        <v>9780826140524</v>
      </c>
      <c r="D851" t="str">
        <f>"9780826140531"</f>
        <v>9780826140531</v>
      </c>
      <c r="E851" t="s">
        <v>379</v>
      </c>
      <c r="F851" s="1">
        <v>43076</v>
      </c>
      <c r="G851" t="s">
        <v>16</v>
      </c>
      <c r="H851">
        <v>4</v>
      </c>
      <c r="J851" t="s">
        <v>3120</v>
      </c>
      <c r="K851" t="s">
        <v>55</v>
      </c>
      <c r="L851">
        <v>362.60973030000002</v>
      </c>
      <c r="M851" t="s">
        <v>3121</v>
      </c>
      <c r="N851" t="s">
        <v>20</v>
      </c>
    </row>
    <row r="852" spans="1:14">
      <c r="A852">
        <v>5200569</v>
      </c>
      <c r="B852" t="s">
        <v>3122</v>
      </c>
      <c r="C852" t="str">
        <f>"9781945612824"</f>
        <v>9781945612824</v>
      </c>
      <c r="D852" t="str">
        <f>"9781945612831"</f>
        <v>9781945612831</v>
      </c>
      <c r="E852" t="s">
        <v>3099</v>
      </c>
      <c r="F852" s="1">
        <v>43087</v>
      </c>
      <c r="G852" t="s">
        <v>16</v>
      </c>
      <c r="J852" t="s">
        <v>3123</v>
      </c>
      <c r="K852" t="s">
        <v>3115</v>
      </c>
      <c r="N852" t="s">
        <v>20</v>
      </c>
    </row>
    <row r="853" spans="1:14">
      <c r="A853">
        <v>5210525</v>
      </c>
      <c r="B853" t="s">
        <v>3124</v>
      </c>
      <c r="C853" t="str">
        <f>"9781631593734"</f>
        <v>9781631593734</v>
      </c>
      <c r="D853" t="str">
        <f>"9781631595431"</f>
        <v>9781631595431</v>
      </c>
      <c r="E853" t="s">
        <v>2713</v>
      </c>
      <c r="F853" s="1">
        <v>43095</v>
      </c>
      <c r="G853" t="s">
        <v>16</v>
      </c>
      <c r="J853" t="s">
        <v>3125</v>
      </c>
      <c r="K853" t="s">
        <v>35</v>
      </c>
      <c r="L853">
        <v>703</v>
      </c>
      <c r="M853" t="s">
        <v>3126</v>
      </c>
      <c r="N853" t="s">
        <v>20</v>
      </c>
    </row>
    <row r="854" spans="1:14">
      <c r="A854">
        <v>5254211</v>
      </c>
      <c r="B854" t="s">
        <v>3127</v>
      </c>
      <c r="C854" t="str">
        <f>""</f>
        <v/>
      </c>
      <c r="D854" t="str">
        <f>"9781523096671"</f>
        <v>9781523096671</v>
      </c>
      <c r="E854" t="s">
        <v>3128</v>
      </c>
      <c r="F854" s="1">
        <v>41456</v>
      </c>
      <c r="G854" t="s">
        <v>16</v>
      </c>
      <c r="J854" t="s">
        <v>3129</v>
      </c>
      <c r="K854" t="s">
        <v>3130</v>
      </c>
      <c r="N854" t="s">
        <v>20</v>
      </c>
    </row>
    <row r="855" spans="1:14">
      <c r="A855">
        <v>5296085</v>
      </c>
      <c r="B855" t="s">
        <v>3131</v>
      </c>
      <c r="C855" t="str">
        <f>""</f>
        <v/>
      </c>
      <c r="D855" t="str">
        <f>"9781498821148"</f>
        <v>9781498821148</v>
      </c>
      <c r="E855" t="s">
        <v>3132</v>
      </c>
      <c r="F855" s="1">
        <v>43242</v>
      </c>
      <c r="G855" t="s">
        <v>16</v>
      </c>
      <c r="H855">
        <v>2018</v>
      </c>
      <c r="J855" t="s">
        <v>3133</v>
      </c>
      <c r="K855" t="s">
        <v>334</v>
      </c>
      <c r="L855">
        <v>1.4330000000000001</v>
      </c>
      <c r="M855" t="s">
        <v>3134</v>
      </c>
      <c r="N855" t="s">
        <v>20</v>
      </c>
    </row>
    <row r="856" spans="1:14">
      <c r="A856">
        <v>5296086</v>
      </c>
      <c r="B856" t="s">
        <v>3135</v>
      </c>
      <c r="C856" t="str">
        <f>""</f>
        <v/>
      </c>
      <c r="D856" t="str">
        <f>"9781498821155"</f>
        <v>9781498821155</v>
      </c>
      <c r="E856" t="s">
        <v>3132</v>
      </c>
      <c r="F856" s="1">
        <v>43241</v>
      </c>
      <c r="G856" t="s">
        <v>16</v>
      </c>
      <c r="H856">
        <v>2018</v>
      </c>
      <c r="J856" t="s">
        <v>3133</v>
      </c>
      <c r="K856" t="s">
        <v>1841</v>
      </c>
      <c r="L856">
        <v>614.07270000000005</v>
      </c>
      <c r="M856" t="s">
        <v>3136</v>
      </c>
      <c r="N856" t="s">
        <v>20</v>
      </c>
    </row>
    <row r="857" spans="1:14">
      <c r="A857">
        <v>5408081</v>
      </c>
      <c r="B857" t="s">
        <v>3137</v>
      </c>
      <c r="C857" t="str">
        <f>"9782804462673"</f>
        <v>9782804462673</v>
      </c>
      <c r="D857" t="str">
        <f>"9782804468996"</f>
        <v>9782804468996</v>
      </c>
      <c r="E857" t="s">
        <v>3138</v>
      </c>
      <c r="F857" s="1">
        <v>41614</v>
      </c>
      <c r="G857" t="s">
        <v>16</v>
      </c>
      <c r="I857" t="s">
        <v>3139</v>
      </c>
      <c r="J857" t="s">
        <v>3140</v>
      </c>
      <c r="K857" t="s">
        <v>502</v>
      </c>
      <c r="L857">
        <v>338.19</v>
      </c>
      <c r="M857" t="s">
        <v>3141</v>
      </c>
      <c r="N857" t="s">
        <v>20</v>
      </c>
    </row>
    <row r="858" spans="1:14">
      <c r="A858">
        <v>5428255</v>
      </c>
      <c r="B858" t="s">
        <v>2766</v>
      </c>
      <c r="C858" t="str">
        <f>"9781760462185"</f>
        <v>9781760462185</v>
      </c>
      <c r="D858" t="str">
        <f>"9781760462192"</f>
        <v>9781760462192</v>
      </c>
      <c r="E858" t="s">
        <v>2763</v>
      </c>
      <c r="F858" s="1">
        <v>43222</v>
      </c>
      <c r="G858" t="s">
        <v>16</v>
      </c>
      <c r="I858" t="s">
        <v>3142</v>
      </c>
      <c r="J858" t="s">
        <v>2767</v>
      </c>
      <c r="K858" t="s">
        <v>50</v>
      </c>
      <c r="L858">
        <v>920.02</v>
      </c>
      <c r="M858" t="s">
        <v>3143</v>
      </c>
      <c r="N858" t="s">
        <v>20</v>
      </c>
    </row>
    <row r="859" spans="1:14">
      <c r="A859">
        <v>5431172</v>
      </c>
      <c r="B859" t="s">
        <v>3144</v>
      </c>
      <c r="C859" t="str">
        <f>"9781787563902"</f>
        <v>9781787563902</v>
      </c>
      <c r="D859" t="str">
        <f>"9781787563872"</f>
        <v>9781787563872</v>
      </c>
      <c r="E859" t="s">
        <v>81</v>
      </c>
      <c r="F859" s="1">
        <v>43277</v>
      </c>
      <c r="G859" t="s">
        <v>16</v>
      </c>
      <c r="I859" t="s">
        <v>3145</v>
      </c>
      <c r="J859" t="s">
        <v>3146</v>
      </c>
      <c r="K859" t="s">
        <v>408</v>
      </c>
      <c r="L859">
        <v>378</v>
      </c>
      <c r="M859" t="s">
        <v>3147</v>
      </c>
      <c r="N859" t="s">
        <v>20</v>
      </c>
    </row>
    <row r="860" spans="1:14">
      <c r="A860">
        <v>5477619</v>
      </c>
      <c r="B860" t="s">
        <v>3148</v>
      </c>
      <c r="C860" t="str">
        <f>"9781527509115"</f>
        <v>9781527509115</v>
      </c>
      <c r="D860" t="str">
        <f>"9781527514614"</f>
        <v>9781527514614</v>
      </c>
      <c r="E860" t="s">
        <v>3062</v>
      </c>
      <c r="F860" s="1">
        <v>43252</v>
      </c>
      <c r="G860" t="s">
        <v>16</v>
      </c>
      <c r="J860" t="s">
        <v>3149</v>
      </c>
      <c r="K860" t="s">
        <v>3150</v>
      </c>
      <c r="L860">
        <v>4.6780299999999997</v>
      </c>
      <c r="M860" t="s">
        <v>3151</v>
      </c>
      <c r="N860" t="s">
        <v>20</v>
      </c>
    </row>
    <row r="861" spans="1:14">
      <c r="A861">
        <v>5491663</v>
      </c>
      <c r="B861" t="s">
        <v>3152</v>
      </c>
      <c r="C861" t="str">
        <f>"9781423236511"</f>
        <v>9781423236511</v>
      </c>
      <c r="D861" t="str">
        <f>"9781423237181"</f>
        <v>9781423237181</v>
      </c>
      <c r="E861" t="s">
        <v>3080</v>
      </c>
      <c r="F861" s="1">
        <v>40147</v>
      </c>
      <c r="G861" t="s">
        <v>16</v>
      </c>
      <c r="H861">
        <v>2</v>
      </c>
      <c r="J861" t="s">
        <v>3153</v>
      </c>
      <c r="K861" t="s">
        <v>386</v>
      </c>
      <c r="L861">
        <v>478.24209999999999</v>
      </c>
      <c r="M861" t="s">
        <v>3154</v>
      </c>
      <c r="N861" t="s">
        <v>20</v>
      </c>
    </row>
    <row r="862" spans="1:14">
      <c r="A862">
        <v>5495393</v>
      </c>
      <c r="B862" t="s">
        <v>3155</v>
      </c>
      <c r="C862" t="str">
        <f>"9781787146129"</f>
        <v>9781787146129</v>
      </c>
      <c r="D862" t="str">
        <f>"9781787146112"</f>
        <v>9781787146112</v>
      </c>
      <c r="E862" t="s">
        <v>81</v>
      </c>
      <c r="F862" s="1">
        <v>43340</v>
      </c>
      <c r="G862" t="s">
        <v>16</v>
      </c>
      <c r="I862" t="s">
        <v>3156</v>
      </c>
      <c r="J862" t="s">
        <v>3157</v>
      </c>
      <c r="K862" t="s">
        <v>55</v>
      </c>
      <c r="L862">
        <v>301</v>
      </c>
      <c r="M862" t="s">
        <v>3158</v>
      </c>
      <c r="N862" t="s">
        <v>20</v>
      </c>
    </row>
    <row r="863" spans="1:14">
      <c r="A863">
        <v>5520094</v>
      </c>
      <c r="B863" t="s">
        <v>3159</v>
      </c>
      <c r="C863" t="str">
        <f>"9780817304485"</f>
        <v>9780817304485</v>
      </c>
      <c r="D863" t="str">
        <f>"9780817392277"</f>
        <v>9780817392277</v>
      </c>
      <c r="E863" t="s">
        <v>3160</v>
      </c>
      <c r="F863" s="1">
        <v>32658</v>
      </c>
      <c r="G863" t="s">
        <v>16</v>
      </c>
      <c r="J863" t="s">
        <v>3161</v>
      </c>
      <c r="K863" t="s">
        <v>474</v>
      </c>
      <c r="L863" t="s">
        <v>3162</v>
      </c>
      <c r="M863" t="s">
        <v>3163</v>
      </c>
      <c r="N863" t="s">
        <v>20</v>
      </c>
    </row>
    <row r="864" spans="1:14">
      <c r="A864">
        <v>5527144</v>
      </c>
      <c r="B864" t="s">
        <v>3164</v>
      </c>
      <c r="C864" t="str">
        <f>""</f>
        <v/>
      </c>
      <c r="D864" t="str">
        <f>"9781630472504"</f>
        <v>9781630472504</v>
      </c>
      <c r="E864" t="s">
        <v>3165</v>
      </c>
      <c r="F864" s="1">
        <v>42129</v>
      </c>
      <c r="G864" t="s">
        <v>16</v>
      </c>
      <c r="J864" t="s">
        <v>3166</v>
      </c>
      <c r="K864" t="s">
        <v>29</v>
      </c>
      <c r="L864">
        <v>650.1</v>
      </c>
      <c r="M864" t="s">
        <v>3167</v>
      </c>
      <c r="N864" t="s">
        <v>20</v>
      </c>
    </row>
    <row r="865" spans="1:14">
      <c r="A865">
        <v>5557357</v>
      </c>
      <c r="B865" t="s">
        <v>3168</v>
      </c>
      <c r="C865" t="str">
        <f>"9789004364059"</f>
        <v>9789004364059</v>
      </c>
      <c r="D865" t="str">
        <f>"9789004364066"</f>
        <v>9789004364066</v>
      </c>
      <c r="E865" t="s">
        <v>468</v>
      </c>
      <c r="F865" s="1">
        <v>43300</v>
      </c>
      <c r="G865" t="s">
        <v>16</v>
      </c>
      <c r="I865" t="s">
        <v>3169</v>
      </c>
      <c r="J865" t="s">
        <v>3170</v>
      </c>
      <c r="K865" t="s">
        <v>1345</v>
      </c>
      <c r="L865">
        <v>929.90941099999998</v>
      </c>
      <c r="M865" t="s">
        <v>3171</v>
      </c>
      <c r="N865" t="s">
        <v>20</v>
      </c>
    </row>
    <row r="866" spans="1:14">
      <c r="A866">
        <v>5558997</v>
      </c>
      <c r="B866" t="s">
        <v>3172</v>
      </c>
      <c r="C866" t="str">
        <f>"9781423236481"</f>
        <v>9781423236481</v>
      </c>
      <c r="D866" t="str">
        <f>"9781423236726"</f>
        <v>9781423236726</v>
      </c>
      <c r="E866" t="s">
        <v>3080</v>
      </c>
      <c r="F866" s="1">
        <v>43040</v>
      </c>
      <c r="G866" t="s">
        <v>16</v>
      </c>
      <c r="H866">
        <v>1</v>
      </c>
      <c r="J866" t="s">
        <v>3173</v>
      </c>
      <c r="K866" t="s">
        <v>386</v>
      </c>
      <c r="L866">
        <v>438.24209999999999</v>
      </c>
      <c r="M866" t="s">
        <v>3174</v>
      </c>
      <c r="N866" t="s">
        <v>20</v>
      </c>
    </row>
    <row r="867" spans="1:14">
      <c r="A867">
        <v>5570569</v>
      </c>
      <c r="B867" t="s">
        <v>3175</v>
      </c>
      <c r="C867" t="str">
        <f>"9789004345775"</f>
        <v>9789004345775</v>
      </c>
      <c r="D867" t="str">
        <f>"9789004359543"</f>
        <v>9789004359543</v>
      </c>
      <c r="E867" t="s">
        <v>468</v>
      </c>
      <c r="F867" s="1">
        <v>42979</v>
      </c>
      <c r="G867" t="s">
        <v>16</v>
      </c>
      <c r="J867" t="s">
        <v>2942</v>
      </c>
      <c r="K867" t="s">
        <v>386</v>
      </c>
      <c r="L867">
        <v>408.99239999999998</v>
      </c>
      <c r="M867" t="s">
        <v>3176</v>
      </c>
      <c r="N867" t="s">
        <v>20</v>
      </c>
    </row>
    <row r="868" spans="1:14">
      <c r="A868">
        <v>5597645</v>
      </c>
      <c r="B868" t="s">
        <v>3177</v>
      </c>
      <c r="C868" t="str">
        <f>"9789004249363"</f>
        <v>9789004249363</v>
      </c>
      <c r="D868" t="str">
        <f>"9789004365001"</f>
        <v>9789004365001</v>
      </c>
      <c r="E868" t="s">
        <v>468</v>
      </c>
      <c r="F868" s="1">
        <v>43202</v>
      </c>
      <c r="G868" t="s">
        <v>16</v>
      </c>
      <c r="I868" t="s">
        <v>3178</v>
      </c>
      <c r="J868" t="s">
        <v>3179</v>
      </c>
      <c r="K868" t="s">
        <v>55</v>
      </c>
      <c r="L868">
        <v>301.08999999999997</v>
      </c>
      <c r="N868" t="s">
        <v>20</v>
      </c>
    </row>
    <row r="869" spans="1:14">
      <c r="A869">
        <v>5598089</v>
      </c>
      <c r="B869" t="s">
        <v>3180</v>
      </c>
      <c r="C869" t="str">
        <f>"9780776627397"</f>
        <v>9780776627397</v>
      </c>
      <c r="D869" t="str">
        <f>"9780776627410"</f>
        <v>9780776627410</v>
      </c>
      <c r="E869" t="s">
        <v>3181</v>
      </c>
      <c r="F869" s="1">
        <v>43431</v>
      </c>
      <c r="G869" t="s">
        <v>16</v>
      </c>
      <c r="J869" t="s">
        <v>3182</v>
      </c>
      <c r="K869" t="s">
        <v>474</v>
      </c>
      <c r="N869" t="s">
        <v>20</v>
      </c>
    </row>
    <row r="870" spans="1:14">
      <c r="A870">
        <v>5725512</v>
      </c>
      <c r="B870" t="s">
        <v>3183</v>
      </c>
      <c r="C870" t="str">
        <f>"9781944883898"</f>
        <v>9781944883898</v>
      </c>
      <c r="D870" t="str">
        <f>"9781944883904"</f>
        <v>9781944883904</v>
      </c>
      <c r="E870" t="s">
        <v>2939</v>
      </c>
      <c r="F870" s="1">
        <v>43099</v>
      </c>
      <c r="G870" t="s">
        <v>16</v>
      </c>
      <c r="H870">
        <v>3</v>
      </c>
      <c r="J870" t="s">
        <v>3184</v>
      </c>
      <c r="K870" t="s">
        <v>155</v>
      </c>
      <c r="L870" t="s">
        <v>3185</v>
      </c>
      <c r="N870" t="s">
        <v>20</v>
      </c>
    </row>
    <row r="871" spans="1:14">
      <c r="A871">
        <v>5772346</v>
      </c>
      <c r="B871" t="s">
        <v>3186</v>
      </c>
      <c r="C871" t="str">
        <f>""</f>
        <v/>
      </c>
      <c r="D871" t="str">
        <f>"9781468311952"</f>
        <v>9781468311952</v>
      </c>
      <c r="E871" t="s">
        <v>3187</v>
      </c>
      <c r="F871" s="1">
        <v>41955</v>
      </c>
      <c r="G871" t="s">
        <v>16</v>
      </c>
      <c r="J871" t="s">
        <v>3188</v>
      </c>
      <c r="K871" t="s">
        <v>394</v>
      </c>
      <c r="L871">
        <v>150.1952</v>
      </c>
      <c r="N871" t="s">
        <v>20</v>
      </c>
    </row>
    <row r="872" spans="1:14">
      <c r="A872">
        <v>5841221</v>
      </c>
      <c r="B872" t="s">
        <v>3189</v>
      </c>
      <c r="C872" t="str">
        <f>"9781641891837"</f>
        <v>9781641891837</v>
      </c>
      <c r="D872" t="str">
        <f>"9781641891844"</f>
        <v>9781641891844</v>
      </c>
      <c r="E872" t="s">
        <v>3190</v>
      </c>
      <c r="F872" s="1">
        <v>43677</v>
      </c>
      <c r="G872" t="s">
        <v>16</v>
      </c>
      <c r="I872" t="s">
        <v>3191</v>
      </c>
      <c r="J872" t="s">
        <v>3192</v>
      </c>
      <c r="K872" t="s">
        <v>3193</v>
      </c>
      <c r="L872">
        <v>809.02</v>
      </c>
      <c r="M872" t="s">
        <v>3194</v>
      </c>
      <c r="N872" t="s">
        <v>20</v>
      </c>
    </row>
    <row r="873" spans="1:14">
      <c r="A873">
        <v>5890287</v>
      </c>
      <c r="B873" t="s">
        <v>3195</v>
      </c>
      <c r="C873" t="str">
        <f>""</f>
        <v/>
      </c>
      <c r="D873" t="str">
        <f>"9780795347238"</f>
        <v>9780795347238</v>
      </c>
      <c r="E873" t="s">
        <v>3196</v>
      </c>
      <c r="F873" s="1">
        <v>42185</v>
      </c>
      <c r="G873" t="s">
        <v>16</v>
      </c>
      <c r="J873" t="s">
        <v>3197</v>
      </c>
      <c r="K873" t="s">
        <v>50</v>
      </c>
      <c r="L873">
        <v>941.08409200000006</v>
      </c>
      <c r="M873" t="s">
        <v>3198</v>
      </c>
      <c r="N873" t="s">
        <v>20</v>
      </c>
    </row>
    <row r="874" spans="1:14">
      <c r="A874">
        <v>5973423</v>
      </c>
      <c r="B874" t="s">
        <v>3199</v>
      </c>
      <c r="C874" t="str">
        <f>"9781535934718"</f>
        <v>9781535934718</v>
      </c>
      <c r="D874" t="str">
        <f>"9781535934725"</f>
        <v>9781535934725</v>
      </c>
      <c r="E874" t="s">
        <v>3200</v>
      </c>
      <c r="F874" s="1">
        <v>43616</v>
      </c>
      <c r="G874" t="s">
        <v>16</v>
      </c>
      <c r="J874" t="s">
        <v>3201</v>
      </c>
      <c r="K874" t="s">
        <v>94</v>
      </c>
      <c r="L874">
        <v>220.3</v>
      </c>
      <c r="M874" t="s">
        <v>3202</v>
      </c>
      <c r="N874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Reference Ebook title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 Park</dc:creator>
  <cp:lastModifiedBy>Miran Park</cp:lastModifiedBy>
  <dcterms:created xsi:type="dcterms:W3CDTF">2020-10-06T08:35:29Z</dcterms:created>
  <dcterms:modified xsi:type="dcterms:W3CDTF">2020-10-06T08:35:29Z</dcterms:modified>
</cp:coreProperties>
</file>